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inssgov.sharepoint.com/sites/CEAD-ENGManuteno/Shared Documents/Planejamento manutenção predial 2024-2025/POLOS I-II-IX-X/Planilhas/"/>
    </mc:Choice>
  </mc:AlternateContent>
  <xr:revisionPtr revIDLastSave="55" documentId="13_ncr:1_{CC97034B-2383-402D-920C-74C81302AD27}" xr6:coauthVersionLast="47" xr6:coauthVersionMax="47" xr10:uidLastSave="{623E37A9-4D85-4C70-8A59-007195C55CAE}"/>
  <bookViews>
    <workbookView xWindow="-28920" yWindow="-120" windowWidth="29040" windowHeight="15720" tabRatio="940" xr2:uid="{00000000-000D-0000-FFFF-FFFF00000000}"/>
  </bookViews>
  <sheets>
    <sheet name="Valor da Contratação" sheetId="1" r:id="rId1"/>
    <sheet name="Resumo" sheetId="2" r:id="rId2"/>
    <sheet name="Equipe Técnica" sheetId="3" r:id="rId3"/>
    <sheet name="Base Maringá" sheetId="4" r:id="rId4"/>
    <sheet name="Desl. Base Maringá" sheetId="5" r:id="rId5"/>
    <sheet name="Base Cascavel" sheetId="13" r:id="rId6"/>
    <sheet name="Desl. Base Cascavel" sheetId="14" r:id="rId7"/>
    <sheet name="Comp. Veículo" sheetId="6" r:id="rId8"/>
    <sheet name="Custo Eng. Eletricista" sheetId="7" r:id="rId9"/>
    <sheet name="Comp. Eng. Eletricista" sheetId="8" r:id="rId10"/>
    <sheet name="Custo Oficial de Manutenção" sheetId="9" r:id="rId11"/>
    <sheet name="Comp. Oficial de Manutenção" sheetId="10" r:id="rId12"/>
    <sheet name="Unidades" sheetId="11" r:id="rId13"/>
    <sheet name="BDI" sheetId="12" r:id="rId14"/>
  </sheets>
  <definedNames>
    <definedName name="___xlnm__FilterDatabase_6">#REF!</definedName>
    <definedName name="_FilterDatabase_3">#REF!</definedName>
    <definedName name="_xlnm.Print_Area" localSheetId="5">'Base Cascavel'!$B$2:$AW$23</definedName>
    <definedName name="_xlnm.Print_Area" localSheetId="3">'Base Maringá'!$B$2:$AW$24</definedName>
    <definedName name="_xlnm.Print_Area" localSheetId="13">BDI!$B$1:$J$44</definedName>
    <definedName name="_xlnm.Print_Area" localSheetId="6">'Desl. Base Cascavel'!$B$2:$M$32</definedName>
    <definedName name="_xlnm.Print_Area" localSheetId="4">'Desl. Base Maringá'!$B$2:$M$33</definedName>
    <definedName name="_xlnm.Print_Area" localSheetId="2">'Equipe Técnica'!$B$2:$E$13</definedName>
    <definedName name="_xlnm.Print_Area" localSheetId="12">Unidades!$B$2:$H$18</definedName>
    <definedName name="Excel_BuiltIn__FilterDatabase_9_1">#REF!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5" i="8" l="1"/>
  <c r="E22" i="13"/>
  <c r="D22" i="13"/>
  <c r="G15" i="10"/>
  <c r="G16" i="8"/>
  <c r="B26" i="2" l="1"/>
  <c r="K6" i="5" l="1"/>
  <c r="L6" i="5" s="1"/>
  <c r="O6" i="5" s="1"/>
  <c r="G5" i="5"/>
  <c r="G6" i="5"/>
  <c r="K6" i="14"/>
  <c r="G5" i="14"/>
  <c r="G6" i="14"/>
  <c r="X8" i="13"/>
  <c r="X9" i="13"/>
  <c r="X10" i="13"/>
  <c r="X11" i="13"/>
  <c r="X12" i="13"/>
  <c r="X13" i="13"/>
  <c r="X14" i="13"/>
  <c r="X15" i="13"/>
  <c r="X16" i="13"/>
  <c r="X17" i="13"/>
  <c r="X18" i="13"/>
  <c r="X7" i="13"/>
  <c r="W8" i="13"/>
  <c r="W9" i="13"/>
  <c r="W10" i="13"/>
  <c r="W11" i="13"/>
  <c r="W12" i="13"/>
  <c r="W13" i="13"/>
  <c r="W14" i="13"/>
  <c r="W15" i="13"/>
  <c r="W16" i="13"/>
  <c r="W17" i="13"/>
  <c r="W18" i="13"/>
  <c r="W7" i="13"/>
  <c r="J8" i="13"/>
  <c r="J9" i="13"/>
  <c r="J10" i="13"/>
  <c r="J11" i="13"/>
  <c r="J12" i="13"/>
  <c r="J13" i="13"/>
  <c r="J14" i="13"/>
  <c r="J15" i="13"/>
  <c r="J16" i="13"/>
  <c r="J17" i="13"/>
  <c r="J18" i="13"/>
  <c r="K8" i="13"/>
  <c r="R5" i="14" s="1"/>
  <c r="K9" i="13"/>
  <c r="R6" i="14" s="1"/>
  <c r="K10" i="13"/>
  <c r="R7" i="14" s="1"/>
  <c r="K11" i="13"/>
  <c r="R8" i="14" s="1"/>
  <c r="K12" i="13"/>
  <c r="R9" i="14" s="1"/>
  <c r="K13" i="13"/>
  <c r="R11" i="14" s="1"/>
  <c r="K14" i="13"/>
  <c r="R12" i="14" s="1"/>
  <c r="K15" i="13"/>
  <c r="R13" i="14" s="1"/>
  <c r="K16" i="13"/>
  <c r="R14" i="14" s="1"/>
  <c r="K17" i="13"/>
  <c r="R15" i="14" s="1"/>
  <c r="K18" i="13"/>
  <c r="R16" i="14" s="1"/>
  <c r="K16" i="14"/>
  <c r="L16" i="14" s="1"/>
  <c r="O16" i="14" s="1"/>
  <c r="G16" i="14"/>
  <c r="K15" i="14"/>
  <c r="L15" i="14" s="1"/>
  <c r="O15" i="14" s="1"/>
  <c r="G15" i="14"/>
  <c r="K13" i="14"/>
  <c r="L13" i="14" s="1"/>
  <c r="O13" i="14" s="1"/>
  <c r="O14" i="14" s="1"/>
  <c r="I13" i="14"/>
  <c r="E13" i="14"/>
  <c r="G13" i="14" s="1"/>
  <c r="I11" i="14"/>
  <c r="K11" i="14" s="1"/>
  <c r="L11" i="14" s="1"/>
  <c r="O11" i="14" s="1"/>
  <c r="O12" i="14" s="1"/>
  <c r="E11" i="14"/>
  <c r="G11" i="14" s="1"/>
  <c r="I9" i="14"/>
  <c r="K9" i="14" s="1"/>
  <c r="L9" i="14" s="1"/>
  <c r="O9" i="14" s="1"/>
  <c r="O10" i="14" s="1"/>
  <c r="G9" i="14"/>
  <c r="E9" i="14"/>
  <c r="I7" i="14"/>
  <c r="L6" i="14" s="1"/>
  <c r="O6" i="14" s="1"/>
  <c r="E7" i="14"/>
  <c r="K5" i="14"/>
  <c r="L5" i="14" s="1"/>
  <c r="O5" i="14" s="1"/>
  <c r="C4" i="14"/>
  <c r="B2" i="14"/>
  <c r="J8" i="4"/>
  <c r="J9" i="4"/>
  <c r="J10" i="4"/>
  <c r="J11" i="4"/>
  <c r="J12" i="4"/>
  <c r="J13" i="4"/>
  <c r="J14" i="4"/>
  <c r="J15" i="4"/>
  <c r="J16" i="4"/>
  <c r="J17" i="4"/>
  <c r="J18" i="4"/>
  <c r="J19" i="4"/>
  <c r="K8" i="4"/>
  <c r="K9" i="4"/>
  <c r="K10" i="4"/>
  <c r="K11" i="4"/>
  <c r="K12" i="4"/>
  <c r="K13" i="4"/>
  <c r="K14" i="4"/>
  <c r="K15" i="4"/>
  <c r="K16" i="4"/>
  <c r="K17" i="4"/>
  <c r="K18" i="4"/>
  <c r="K19" i="4"/>
  <c r="K17" i="5"/>
  <c r="L17" i="5" s="1"/>
  <c r="O17" i="5" s="1"/>
  <c r="G17" i="5"/>
  <c r="I15" i="5"/>
  <c r="K15" i="5" s="1"/>
  <c r="L15" i="5" s="1"/>
  <c r="O15" i="5" s="1"/>
  <c r="O16" i="5" s="1"/>
  <c r="G15" i="5"/>
  <c r="E15" i="5"/>
  <c r="I13" i="5"/>
  <c r="K13" i="5" s="1"/>
  <c r="L13" i="5" s="1"/>
  <c r="O13" i="5" s="1"/>
  <c r="O14" i="5" s="1"/>
  <c r="E13" i="5"/>
  <c r="G13" i="5" s="1"/>
  <c r="K11" i="5"/>
  <c r="L11" i="5" s="1"/>
  <c r="O11" i="5" s="1"/>
  <c r="O12" i="5" s="1"/>
  <c r="I11" i="5"/>
  <c r="G11" i="5"/>
  <c r="E11" i="5"/>
  <c r="I9" i="5"/>
  <c r="K9" i="5" s="1"/>
  <c r="L9" i="5" s="1"/>
  <c r="O9" i="5" s="1"/>
  <c r="O10" i="5" s="1"/>
  <c r="G9" i="5"/>
  <c r="E9" i="5"/>
  <c r="K7" i="5"/>
  <c r="L7" i="5" s="1"/>
  <c r="O7" i="5" s="1"/>
  <c r="O8" i="5" s="1"/>
  <c r="G7" i="5"/>
  <c r="O5" i="5"/>
  <c r="L5" i="5"/>
  <c r="K5" i="5"/>
  <c r="B40" i="2"/>
  <c r="B29" i="2"/>
  <c r="B30" i="2"/>
  <c r="B31" i="2"/>
  <c r="B32" i="2"/>
  <c r="B33" i="2"/>
  <c r="B34" i="2"/>
  <c r="B35" i="2"/>
  <c r="B36" i="2"/>
  <c r="B37" i="2"/>
  <c r="B38" i="2"/>
  <c r="B39" i="2"/>
  <c r="B28" i="2"/>
  <c r="AS4" i="13"/>
  <c r="AI2" i="13"/>
  <c r="Q2" i="13"/>
  <c r="B2" i="13"/>
  <c r="C31" i="14"/>
  <c r="N17" i="14"/>
  <c r="M17" i="14"/>
  <c r="B23" i="13"/>
  <c r="AI18" i="13"/>
  <c r="Q18" i="13"/>
  <c r="F18" i="13"/>
  <c r="E18" i="13"/>
  <c r="D18" i="13"/>
  <c r="C18" i="13"/>
  <c r="AI17" i="13"/>
  <c r="Q17" i="13"/>
  <c r="F17" i="13"/>
  <c r="E17" i="13"/>
  <c r="D17" i="13"/>
  <c r="C17" i="13"/>
  <c r="AI16" i="13"/>
  <c r="Q16" i="13"/>
  <c r="F16" i="13"/>
  <c r="E16" i="13"/>
  <c r="D16" i="13"/>
  <c r="C16" i="13"/>
  <c r="AI15" i="13"/>
  <c r="Q15" i="13"/>
  <c r="F15" i="13"/>
  <c r="E15" i="13"/>
  <c r="D15" i="13"/>
  <c r="C15" i="13"/>
  <c r="AI14" i="13"/>
  <c r="Q14" i="13"/>
  <c r="F14" i="13"/>
  <c r="E14" i="13"/>
  <c r="D14" i="13"/>
  <c r="C14" i="13"/>
  <c r="AI13" i="13"/>
  <c r="Q13" i="13"/>
  <c r="F13" i="13"/>
  <c r="E13" i="13"/>
  <c r="D13" i="13"/>
  <c r="C13" i="13"/>
  <c r="AI12" i="13"/>
  <c r="Q12" i="13"/>
  <c r="F12" i="13"/>
  <c r="E12" i="13"/>
  <c r="D12" i="13"/>
  <c r="C12" i="13"/>
  <c r="AI11" i="13"/>
  <c r="Q11" i="13"/>
  <c r="F11" i="13"/>
  <c r="E11" i="13"/>
  <c r="D11" i="13"/>
  <c r="C11" i="13"/>
  <c r="AI10" i="13"/>
  <c r="Q10" i="13"/>
  <c r="F10" i="13"/>
  <c r="E10" i="13"/>
  <c r="D10" i="13"/>
  <c r="C10" i="13"/>
  <c r="AI9" i="13"/>
  <c r="Q9" i="13"/>
  <c r="F9" i="13"/>
  <c r="E9" i="13"/>
  <c r="D9" i="13"/>
  <c r="C9" i="13"/>
  <c r="AI8" i="13"/>
  <c r="Q8" i="13"/>
  <c r="F8" i="13"/>
  <c r="E8" i="13"/>
  <c r="D8" i="13"/>
  <c r="C8" i="13"/>
  <c r="AI7" i="13"/>
  <c r="Q7" i="13"/>
  <c r="K7" i="13"/>
  <c r="R10" i="14" s="1"/>
  <c r="J7" i="13"/>
  <c r="F7" i="13"/>
  <c r="E7" i="13"/>
  <c r="D7" i="13"/>
  <c r="C7" i="13"/>
  <c r="G12" i="13" l="1"/>
  <c r="H12" i="13" s="1"/>
  <c r="I12" i="13" s="1"/>
  <c r="G18" i="13"/>
  <c r="H18" i="13" s="1"/>
  <c r="M18" i="13" s="1"/>
  <c r="J19" i="13"/>
  <c r="G16" i="13"/>
  <c r="H16" i="13" s="1"/>
  <c r="L16" i="13" s="1"/>
  <c r="G17" i="13"/>
  <c r="H17" i="13" s="1"/>
  <c r="L17" i="13" s="1"/>
  <c r="X19" i="13"/>
  <c r="K7" i="14"/>
  <c r="L7" i="14" s="1"/>
  <c r="O7" i="14" s="1"/>
  <c r="O8" i="14" s="1"/>
  <c r="G7" i="14"/>
  <c r="G17" i="14"/>
  <c r="K17" i="14"/>
  <c r="G9" i="13"/>
  <c r="H9" i="13" s="1"/>
  <c r="M9" i="13" s="1"/>
  <c r="G8" i="13"/>
  <c r="H8" i="13" s="1"/>
  <c r="L8" i="13" s="1"/>
  <c r="G14" i="13"/>
  <c r="H14" i="13" s="1"/>
  <c r="I14" i="13" s="1"/>
  <c r="F19" i="13"/>
  <c r="G11" i="13"/>
  <c r="H11" i="13" s="1"/>
  <c r="L11" i="13" s="1"/>
  <c r="E19" i="13"/>
  <c r="G10" i="13"/>
  <c r="H10" i="13" s="1"/>
  <c r="M10" i="13" s="1"/>
  <c r="G15" i="13"/>
  <c r="H15" i="13" s="1"/>
  <c r="I15" i="13" s="1"/>
  <c r="G13" i="13"/>
  <c r="H13" i="13" s="1"/>
  <c r="L13" i="13" s="1"/>
  <c r="D19" i="13"/>
  <c r="C19" i="13"/>
  <c r="C6" i="2" s="1"/>
  <c r="Q17" i="14"/>
  <c r="P17" i="14"/>
  <c r="W19" i="13"/>
  <c r="K19" i="13"/>
  <c r="I17" i="13"/>
  <c r="G7" i="13"/>
  <c r="F29" i="11"/>
  <c r="F28" i="11"/>
  <c r="F27" i="11"/>
  <c r="F26" i="11"/>
  <c r="F25" i="11"/>
  <c r="F24" i="11"/>
  <c r="F23" i="11"/>
  <c r="F22" i="11"/>
  <c r="F21" i="11"/>
  <c r="F20" i="11"/>
  <c r="F18" i="11"/>
  <c r="F16" i="11"/>
  <c r="F15" i="11"/>
  <c r="F14" i="11"/>
  <c r="F13" i="11"/>
  <c r="F12" i="11"/>
  <c r="F11" i="11"/>
  <c r="F10" i="11"/>
  <c r="F9" i="11"/>
  <c r="F8" i="11"/>
  <c r="F7" i="11"/>
  <c r="F6" i="11"/>
  <c r="F5" i="11"/>
  <c r="I16" i="13" l="1"/>
  <c r="L12" i="13"/>
  <c r="N12" i="13" s="1"/>
  <c r="M16" i="13"/>
  <c r="I18" i="13"/>
  <c r="M12" i="13"/>
  <c r="L14" i="13"/>
  <c r="M13" i="13"/>
  <c r="I9" i="13"/>
  <c r="L9" i="13"/>
  <c r="L18" i="13"/>
  <c r="M11" i="13"/>
  <c r="M8" i="13"/>
  <c r="I11" i="13"/>
  <c r="M14" i="13"/>
  <c r="I13" i="13"/>
  <c r="I8" i="13"/>
  <c r="M17" i="13"/>
  <c r="N17" i="13" s="1"/>
  <c r="L15" i="13"/>
  <c r="M15" i="13"/>
  <c r="I10" i="13"/>
  <c r="L10" i="13"/>
  <c r="O17" i="14"/>
  <c r="L17" i="14"/>
  <c r="H7" i="13"/>
  <c r="G19" i="13"/>
  <c r="N16" i="13"/>
  <c r="N18" i="13" l="1"/>
  <c r="N8" i="13"/>
  <c r="N13" i="13"/>
  <c r="N9" i="13"/>
  <c r="N14" i="13"/>
  <c r="N11" i="13"/>
  <c r="N15" i="13"/>
  <c r="N10" i="13"/>
  <c r="M7" i="13"/>
  <c r="H19" i="13"/>
  <c r="L7" i="13"/>
  <c r="I7" i="13"/>
  <c r="R17" i="5"/>
  <c r="O18" i="5" l="1"/>
  <c r="P18" i="5"/>
  <c r="I19" i="13"/>
  <c r="L19" i="13"/>
  <c r="M19" i="13"/>
  <c r="N7" i="13"/>
  <c r="D42" i="12"/>
  <c r="D30" i="12"/>
  <c r="J29" i="12"/>
  <c r="J30" i="12" s="1"/>
  <c r="I29" i="12"/>
  <c r="I30" i="12" s="1"/>
  <c r="D29" i="12"/>
  <c r="J28" i="12"/>
  <c r="I28" i="12"/>
  <c r="H28" i="12"/>
  <c r="H29" i="12" s="1"/>
  <c r="H30" i="12" s="1"/>
  <c r="G28" i="12"/>
  <c r="G29" i="12" s="1"/>
  <c r="G30" i="12" s="1"/>
  <c r="F28" i="12"/>
  <c r="F29" i="12" s="1"/>
  <c r="F30" i="12" s="1"/>
  <c r="E28" i="12"/>
  <c r="E29" i="12" s="1"/>
  <c r="E30" i="12" s="1"/>
  <c r="B3" i="12"/>
  <c r="B2" i="11"/>
  <c r="I22" i="10"/>
  <c r="I21" i="10"/>
  <c r="I20" i="10"/>
  <c r="I19" i="10"/>
  <c r="I18" i="10"/>
  <c r="I17" i="10"/>
  <c r="I16" i="10"/>
  <c r="I14" i="10"/>
  <c r="C17" i="9"/>
  <c r="C19" i="9" s="1"/>
  <c r="C16" i="9"/>
  <c r="C18" i="9" s="1"/>
  <c r="I15" i="10" s="1"/>
  <c r="I20" i="8"/>
  <c r="I19" i="8"/>
  <c r="I18" i="8"/>
  <c r="I17" i="8"/>
  <c r="I15" i="8"/>
  <c r="C14" i="7"/>
  <c r="C13" i="7"/>
  <c r="I16" i="8" s="1"/>
  <c r="G32" i="6"/>
  <c r="I32" i="6" s="1"/>
  <c r="G31" i="6"/>
  <c r="I31" i="6" s="1"/>
  <c r="G30" i="6"/>
  <c r="I30" i="6" s="1"/>
  <c r="D24" i="6"/>
  <c r="D23" i="6"/>
  <c r="I18" i="6"/>
  <c r="I17" i="6"/>
  <c r="I16" i="6"/>
  <c r="I15" i="6"/>
  <c r="I14" i="6"/>
  <c r="C32" i="5"/>
  <c r="N18" i="5"/>
  <c r="M18" i="5"/>
  <c r="Q18" i="5"/>
  <c r="C4" i="5"/>
  <c r="B2" i="5"/>
  <c r="B24" i="4"/>
  <c r="R10" i="5"/>
  <c r="R9" i="5"/>
  <c r="AI19" i="4"/>
  <c r="Q19" i="4"/>
  <c r="R5" i="5"/>
  <c r="F19" i="4"/>
  <c r="E19" i="4"/>
  <c r="D19" i="4"/>
  <c r="C19" i="4"/>
  <c r="AI18" i="4"/>
  <c r="Q18" i="4"/>
  <c r="R16" i="5"/>
  <c r="F18" i="4"/>
  <c r="E18" i="4"/>
  <c r="D18" i="4"/>
  <c r="C18" i="4"/>
  <c r="AI17" i="4"/>
  <c r="Q17" i="4"/>
  <c r="X17" i="4" s="1"/>
  <c r="F17" i="4"/>
  <c r="E17" i="4"/>
  <c r="D17" i="4"/>
  <c r="C17" i="4"/>
  <c r="AI16" i="4"/>
  <c r="Q16" i="4"/>
  <c r="X16" i="4" s="1"/>
  <c r="R14" i="5"/>
  <c r="F16" i="4"/>
  <c r="E16" i="4"/>
  <c r="D16" i="4"/>
  <c r="C16" i="4"/>
  <c r="AI15" i="4"/>
  <c r="Q15" i="4"/>
  <c r="X15" i="4" s="1"/>
  <c r="R8" i="5"/>
  <c r="F15" i="4"/>
  <c r="E15" i="4"/>
  <c r="D15" i="4"/>
  <c r="C15" i="4"/>
  <c r="AI14" i="4"/>
  <c r="Q14" i="4"/>
  <c r="F14" i="4"/>
  <c r="E14" i="4"/>
  <c r="D14" i="4"/>
  <c r="C14" i="4"/>
  <c r="AI13" i="4"/>
  <c r="Q13" i="4"/>
  <c r="X13" i="4" s="1"/>
  <c r="F13" i="4"/>
  <c r="E13" i="4"/>
  <c r="D13" i="4"/>
  <c r="C13" i="4"/>
  <c r="AI12" i="4"/>
  <c r="Q12" i="4"/>
  <c r="F12" i="4"/>
  <c r="E12" i="4"/>
  <c r="D12" i="4"/>
  <c r="C12" i="4"/>
  <c r="AI11" i="4"/>
  <c r="Q11" i="4"/>
  <c r="X11" i="4" s="1"/>
  <c r="R12" i="5"/>
  <c r="F11" i="4"/>
  <c r="E11" i="4"/>
  <c r="D11" i="4"/>
  <c r="C11" i="4"/>
  <c r="AI10" i="4"/>
  <c r="Q10" i="4"/>
  <c r="X10" i="4" s="1"/>
  <c r="R13" i="5"/>
  <c r="F10" i="4"/>
  <c r="E10" i="4"/>
  <c r="D10" i="4"/>
  <c r="C10" i="4"/>
  <c r="AI9" i="4"/>
  <c r="Q9" i="4"/>
  <c r="X9" i="4" s="1"/>
  <c r="R15" i="5"/>
  <c r="F9" i="4"/>
  <c r="E9" i="4"/>
  <c r="D9" i="4"/>
  <c r="C9" i="4"/>
  <c r="AI8" i="4"/>
  <c r="Q8" i="4"/>
  <c r="X8" i="4" s="1"/>
  <c r="R11" i="5"/>
  <c r="F8" i="4"/>
  <c r="E8" i="4"/>
  <c r="D8" i="4"/>
  <c r="C8" i="4"/>
  <c r="AI7" i="4"/>
  <c r="Q7" i="4"/>
  <c r="X7" i="4" s="1"/>
  <c r="K7" i="4"/>
  <c r="R7" i="5" s="1"/>
  <c r="J7" i="4"/>
  <c r="F7" i="4"/>
  <c r="E7" i="4"/>
  <c r="D7" i="4"/>
  <c r="C7" i="4"/>
  <c r="AS4" i="4"/>
  <c r="AI2" i="4"/>
  <c r="Q2" i="4"/>
  <c r="B2" i="4"/>
  <c r="E8" i="3"/>
  <c r="C8" i="3"/>
  <c r="E7" i="3"/>
  <c r="C7" i="3"/>
  <c r="B2" i="3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9" i="2"/>
  <c r="B7" i="2"/>
  <c r="B2" i="2"/>
  <c r="H14" i="11" l="1"/>
  <c r="H28" i="11"/>
  <c r="AJ17" i="13" s="1"/>
  <c r="H9" i="11"/>
  <c r="H25" i="11"/>
  <c r="AJ14" i="13" s="1"/>
  <c r="H15" i="11"/>
  <c r="AJ17" i="4" s="1"/>
  <c r="H29" i="11"/>
  <c r="AJ18" i="13" s="1"/>
  <c r="H18" i="11"/>
  <c r="AJ7" i="13" s="1"/>
  <c r="H22" i="11"/>
  <c r="AJ11" i="13" s="1"/>
  <c r="H12" i="11"/>
  <c r="H27" i="11"/>
  <c r="AJ16" i="13" s="1"/>
  <c r="H16" i="11"/>
  <c r="AJ18" i="4" s="1"/>
  <c r="H17" i="11"/>
  <c r="H5" i="11"/>
  <c r="H19" i="11"/>
  <c r="AJ8" i="13" s="1"/>
  <c r="H20" i="11"/>
  <c r="AJ9" i="13" s="1"/>
  <c r="H26" i="11"/>
  <c r="AJ15" i="13" s="1"/>
  <c r="H7" i="11"/>
  <c r="H8" i="11"/>
  <c r="H21" i="11"/>
  <c r="AJ10" i="13" s="1"/>
  <c r="H23" i="11"/>
  <c r="AJ12" i="13" s="1"/>
  <c r="H24" i="11"/>
  <c r="AJ13" i="13" s="1"/>
  <c r="H11" i="11"/>
  <c r="H13" i="11"/>
  <c r="AJ15" i="4" s="1"/>
  <c r="H6" i="11"/>
  <c r="H10" i="11"/>
  <c r="AJ19" i="4"/>
  <c r="R6" i="5"/>
  <c r="N19" i="13"/>
  <c r="W14" i="4"/>
  <c r="X14" i="4"/>
  <c r="W19" i="4"/>
  <c r="X19" i="4"/>
  <c r="W12" i="4"/>
  <c r="X12" i="4"/>
  <c r="W15" i="4"/>
  <c r="W18" i="4"/>
  <c r="X18" i="4"/>
  <c r="D27" i="6"/>
  <c r="D11" i="6"/>
  <c r="D11" i="8"/>
  <c r="D5" i="3" s="1"/>
  <c r="D8" i="3" s="1"/>
  <c r="C13" i="3" s="1"/>
  <c r="W11" i="4"/>
  <c r="G10" i="4"/>
  <c r="H10" i="4" s="1"/>
  <c r="L10" i="4" s="1"/>
  <c r="G14" i="4"/>
  <c r="H14" i="4" s="1"/>
  <c r="L14" i="4" s="1"/>
  <c r="G19" i="4"/>
  <c r="H19" i="4" s="1"/>
  <c r="L19" i="4" s="1"/>
  <c r="G12" i="4"/>
  <c r="H12" i="4" s="1"/>
  <c r="M12" i="4" s="1"/>
  <c r="G16" i="4"/>
  <c r="H16" i="4" s="1"/>
  <c r="I16" i="4" s="1"/>
  <c r="G8" i="4"/>
  <c r="H8" i="4" s="1"/>
  <c r="I8" i="4" s="1"/>
  <c r="G11" i="4"/>
  <c r="H11" i="4" s="1"/>
  <c r="L11" i="4" s="1"/>
  <c r="G15" i="4"/>
  <c r="H15" i="4" s="1"/>
  <c r="M15" i="4" s="1"/>
  <c r="G9" i="4"/>
  <c r="H9" i="4" s="1"/>
  <c r="L9" i="4" s="1"/>
  <c r="G13" i="4"/>
  <c r="H13" i="4" s="1"/>
  <c r="L13" i="4" s="1"/>
  <c r="G17" i="4"/>
  <c r="H17" i="4" s="1"/>
  <c r="L17" i="4" s="1"/>
  <c r="F20" i="4"/>
  <c r="AJ16" i="4"/>
  <c r="W17" i="4"/>
  <c r="AJ9" i="4"/>
  <c r="AJ13" i="4"/>
  <c r="AJ12" i="4"/>
  <c r="D20" i="4"/>
  <c r="G7" i="4"/>
  <c r="E20" i="4"/>
  <c r="AJ11" i="4"/>
  <c r="AJ10" i="4"/>
  <c r="AJ7" i="4"/>
  <c r="W8" i="4"/>
  <c r="K20" i="4"/>
  <c r="W16" i="4"/>
  <c r="W7" i="4"/>
  <c r="J20" i="4"/>
  <c r="J42" i="12"/>
  <c r="J43" i="12" s="1"/>
  <c r="J44" i="12" s="1"/>
  <c r="H42" i="12"/>
  <c r="H43" i="12" s="1"/>
  <c r="H44" i="12" s="1"/>
  <c r="G42" i="12"/>
  <c r="G43" i="12" s="1"/>
  <c r="G44" i="12" s="1"/>
  <c r="F42" i="12"/>
  <c r="F43" i="12" s="1"/>
  <c r="F44" i="12" s="1"/>
  <c r="E42" i="12"/>
  <c r="E43" i="12" s="1"/>
  <c r="E44" i="12" s="1"/>
  <c r="L18" i="5"/>
  <c r="I42" i="12"/>
  <c r="I43" i="12" s="1"/>
  <c r="I44" i="12" s="1"/>
  <c r="D43" i="12"/>
  <c r="D44" i="12" s="1"/>
  <c r="AJ14" i="4"/>
  <c r="G18" i="5"/>
  <c r="AJ8" i="4"/>
  <c r="D11" i="10"/>
  <c r="W13" i="4"/>
  <c r="W10" i="4"/>
  <c r="C20" i="4"/>
  <c r="C5" i="2" s="1"/>
  <c r="C7" i="2" s="1"/>
  <c r="G18" i="4"/>
  <c r="H18" i="4" s="1"/>
  <c r="W9" i="4"/>
  <c r="K18" i="5"/>
  <c r="E23" i="5" l="1"/>
  <c r="E22" i="14"/>
  <c r="C27" i="14"/>
  <c r="E22" i="5"/>
  <c r="C27" i="5" s="1"/>
  <c r="E21" i="14"/>
  <c r="C23" i="4"/>
  <c r="T14" i="4" s="1"/>
  <c r="C22" i="13"/>
  <c r="M19" i="4"/>
  <c r="I19" i="4"/>
  <c r="L15" i="4"/>
  <c r="M14" i="4"/>
  <c r="I10" i="4"/>
  <c r="M10" i="4"/>
  <c r="M11" i="4"/>
  <c r="I11" i="4"/>
  <c r="I14" i="4"/>
  <c r="I13" i="4"/>
  <c r="D7" i="3"/>
  <c r="C12" i="3" s="1"/>
  <c r="M13" i="4"/>
  <c r="L16" i="4"/>
  <c r="M16" i="4"/>
  <c r="X20" i="4"/>
  <c r="L8" i="4"/>
  <c r="M8" i="4"/>
  <c r="I12" i="4"/>
  <c r="L12" i="4"/>
  <c r="I9" i="4"/>
  <c r="I15" i="4"/>
  <c r="M9" i="4"/>
  <c r="I17" i="4"/>
  <c r="M17" i="4"/>
  <c r="V8" i="4"/>
  <c r="G20" i="4"/>
  <c r="H7" i="4"/>
  <c r="V17" i="4"/>
  <c r="W20" i="4"/>
  <c r="L18" i="4"/>
  <c r="I18" i="4"/>
  <c r="M18" i="4"/>
  <c r="V15" i="4"/>
  <c r="Y12" i="13" l="1"/>
  <c r="Y13" i="13"/>
  <c r="Y14" i="13"/>
  <c r="Y15" i="13"/>
  <c r="Y16" i="13"/>
  <c r="Y17" i="13"/>
  <c r="Y18" i="13"/>
  <c r="Y7" i="13"/>
  <c r="Y8" i="13"/>
  <c r="Y11" i="13"/>
  <c r="Y10" i="13"/>
  <c r="Y9" i="13"/>
  <c r="C26" i="14"/>
  <c r="U14" i="4"/>
  <c r="R11" i="4"/>
  <c r="T15" i="4"/>
  <c r="V10" i="4"/>
  <c r="V13" i="4"/>
  <c r="T9" i="4"/>
  <c r="R16" i="4"/>
  <c r="S8" i="4"/>
  <c r="U16" i="4"/>
  <c r="T11" i="4"/>
  <c r="U15" i="4"/>
  <c r="T19" i="4"/>
  <c r="U13" i="4"/>
  <c r="U19" i="4"/>
  <c r="R12" i="4"/>
  <c r="V7" i="4"/>
  <c r="U12" i="4"/>
  <c r="V12" i="4"/>
  <c r="R9" i="4"/>
  <c r="R18" i="4"/>
  <c r="T13" i="4"/>
  <c r="V9" i="4"/>
  <c r="S9" i="4"/>
  <c r="R10" i="4"/>
  <c r="V14" i="4"/>
  <c r="V11" i="4"/>
  <c r="S12" i="4"/>
  <c r="U11" i="4"/>
  <c r="V16" i="4"/>
  <c r="R14" i="4"/>
  <c r="V18" i="4"/>
  <c r="R8" i="4"/>
  <c r="R15" i="4"/>
  <c r="V19" i="4"/>
  <c r="T16" i="4"/>
  <c r="S17" i="4"/>
  <c r="S16" i="4"/>
  <c r="T17" i="4"/>
  <c r="R13" i="4"/>
  <c r="U9" i="4"/>
  <c r="S15" i="4"/>
  <c r="S13" i="4"/>
  <c r="T12" i="4"/>
  <c r="S11" i="4"/>
  <c r="U8" i="4"/>
  <c r="U10" i="4"/>
  <c r="R17" i="4"/>
  <c r="T10" i="4"/>
  <c r="R19" i="4"/>
  <c r="T8" i="4"/>
  <c r="S10" i="4"/>
  <c r="V9" i="13"/>
  <c r="V10" i="13"/>
  <c r="V11" i="13"/>
  <c r="V12" i="13"/>
  <c r="V13" i="13"/>
  <c r="V14" i="13"/>
  <c r="V15" i="13"/>
  <c r="V16" i="13"/>
  <c r="V17" i="13"/>
  <c r="V18" i="13"/>
  <c r="V7" i="13"/>
  <c r="V8" i="13"/>
  <c r="R18" i="13"/>
  <c r="R11" i="13"/>
  <c r="R17" i="13"/>
  <c r="R16" i="13"/>
  <c r="R8" i="13"/>
  <c r="R13" i="13"/>
  <c r="R12" i="13"/>
  <c r="R14" i="13"/>
  <c r="T11" i="13"/>
  <c r="R10" i="13"/>
  <c r="S12" i="13"/>
  <c r="T17" i="13"/>
  <c r="S13" i="13"/>
  <c r="T9" i="13"/>
  <c r="T15" i="13"/>
  <c r="T8" i="13"/>
  <c r="U9" i="13"/>
  <c r="T14" i="13"/>
  <c r="U13" i="13"/>
  <c r="S9" i="13"/>
  <c r="T12" i="13"/>
  <c r="U11" i="13"/>
  <c r="U14" i="13"/>
  <c r="R9" i="13"/>
  <c r="S8" i="13"/>
  <c r="U8" i="13"/>
  <c r="S14" i="13"/>
  <c r="U16" i="13"/>
  <c r="S15" i="13"/>
  <c r="U18" i="13"/>
  <c r="U10" i="13"/>
  <c r="T13" i="13"/>
  <c r="S18" i="13"/>
  <c r="S17" i="13"/>
  <c r="R15" i="13"/>
  <c r="U17" i="13"/>
  <c r="S16" i="13"/>
  <c r="T18" i="13"/>
  <c r="S11" i="13"/>
  <c r="U12" i="13"/>
  <c r="T16" i="13"/>
  <c r="U15" i="13"/>
  <c r="O11" i="13"/>
  <c r="T10" i="13"/>
  <c r="S10" i="13"/>
  <c r="O13" i="13"/>
  <c r="O15" i="13"/>
  <c r="O8" i="13"/>
  <c r="O16" i="13"/>
  <c r="O18" i="13"/>
  <c r="O17" i="13"/>
  <c r="O9" i="13"/>
  <c r="O14" i="13"/>
  <c r="O12" i="13"/>
  <c r="R7" i="13"/>
  <c r="O10" i="13"/>
  <c r="S7" i="13"/>
  <c r="T7" i="13"/>
  <c r="U7" i="13"/>
  <c r="O7" i="13"/>
  <c r="N19" i="4"/>
  <c r="Y19" i="4" s="1"/>
  <c r="N11" i="4"/>
  <c r="N17" i="4"/>
  <c r="S19" i="4"/>
  <c r="N10" i="4"/>
  <c r="N14" i="4"/>
  <c r="Y14" i="4" s="1"/>
  <c r="N13" i="4"/>
  <c r="S14" i="4"/>
  <c r="N8" i="4"/>
  <c r="N16" i="4"/>
  <c r="Y16" i="4" s="1"/>
  <c r="U17" i="4"/>
  <c r="N12" i="4"/>
  <c r="Y12" i="4" s="1"/>
  <c r="N15" i="4"/>
  <c r="N9" i="4"/>
  <c r="Y9" i="4" s="1"/>
  <c r="S18" i="4"/>
  <c r="T18" i="4"/>
  <c r="U18" i="4"/>
  <c r="N18" i="4"/>
  <c r="Y18" i="4" s="1"/>
  <c r="H20" i="4"/>
  <c r="L7" i="4"/>
  <c r="M7" i="4"/>
  <c r="I7" i="4"/>
  <c r="R7" i="4"/>
  <c r="O15" i="4" l="1"/>
  <c r="Y15" i="4"/>
  <c r="O10" i="4"/>
  <c r="Y10" i="4"/>
  <c r="O17" i="4"/>
  <c r="Y17" i="4"/>
  <c r="O11" i="4"/>
  <c r="Y11" i="4"/>
  <c r="O13" i="4"/>
  <c r="Y13" i="4"/>
  <c r="O8" i="4"/>
  <c r="Y8" i="4"/>
  <c r="Y19" i="13"/>
  <c r="V20" i="4"/>
  <c r="O19" i="13"/>
  <c r="U19" i="13"/>
  <c r="V19" i="13"/>
  <c r="T19" i="13"/>
  <c r="S19" i="13"/>
  <c r="R19" i="13"/>
  <c r="O19" i="4"/>
  <c r="O14" i="4"/>
  <c r="O12" i="4"/>
  <c r="O9" i="4"/>
  <c r="O16" i="4"/>
  <c r="I20" i="4"/>
  <c r="S7" i="4"/>
  <c r="U7" i="4"/>
  <c r="M20" i="4"/>
  <c r="N7" i="4"/>
  <c r="Y7" i="4" s="1"/>
  <c r="L20" i="4"/>
  <c r="T7" i="4"/>
  <c r="O18" i="4"/>
  <c r="R20" i="4"/>
  <c r="N20" i="4" l="1"/>
  <c r="O7" i="4"/>
  <c r="O20" i="4" s="1"/>
  <c r="U20" i="4"/>
  <c r="T20" i="4"/>
  <c r="S20" i="4"/>
  <c r="C28" i="14" l="1"/>
  <c r="AC5" i="4"/>
  <c r="AC5" i="13"/>
  <c r="Y20" i="4"/>
  <c r="C28" i="5"/>
  <c r="C29" i="5" s="1"/>
  <c r="Z8" i="13" l="1"/>
  <c r="AD8" i="13" s="1"/>
  <c r="AK8" i="13" s="1"/>
  <c r="AA16" i="13"/>
  <c r="AE16" i="13" s="1"/>
  <c r="AL16" i="13" s="1"/>
  <c r="AB8" i="13"/>
  <c r="AF8" i="13" s="1"/>
  <c r="AM8" i="13" s="1"/>
  <c r="Z13" i="13"/>
  <c r="AD13" i="13" s="1"/>
  <c r="AK13" i="13" s="1"/>
  <c r="AA17" i="13"/>
  <c r="AE17" i="13" s="1"/>
  <c r="AL17" i="13" s="1"/>
  <c r="AC18" i="13"/>
  <c r="AG18" i="13" s="1"/>
  <c r="AN18" i="13" s="1"/>
  <c r="AB10" i="13"/>
  <c r="AF10" i="13" s="1"/>
  <c r="AM10" i="13" s="1"/>
  <c r="Z12" i="13"/>
  <c r="AD12" i="13" s="1"/>
  <c r="AK12" i="13" s="1"/>
  <c r="AA14" i="13"/>
  <c r="AE14" i="13" s="1"/>
  <c r="AL14" i="13" s="1"/>
  <c r="AB9" i="13"/>
  <c r="AF9" i="13" s="1"/>
  <c r="AM9" i="13" s="1"/>
  <c r="Z7" i="13"/>
  <c r="Z18" i="13"/>
  <c r="AD18" i="13" s="1"/>
  <c r="AK18" i="13" s="1"/>
  <c r="AA8" i="13"/>
  <c r="AE8" i="13" s="1"/>
  <c r="AL8" i="13" s="1"/>
  <c r="AB15" i="13"/>
  <c r="AF15" i="13" s="1"/>
  <c r="AM15" i="13" s="1"/>
  <c r="AA7" i="13"/>
  <c r="Z10" i="13"/>
  <c r="AD10" i="13" s="1"/>
  <c r="AK10" i="13" s="1"/>
  <c r="AC15" i="13"/>
  <c r="AG15" i="13" s="1"/>
  <c r="AN15" i="13" s="1"/>
  <c r="AA9" i="13"/>
  <c r="AE9" i="13" s="1"/>
  <c r="AL9" i="13" s="1"/>
  <c r="AB7" i="13"/>
  <c r="Z14" i="13"/>
  <c r="AD14" i="13" s="1"/>
  <c r="AK14" i="13" s="1"/>
  <c r="AC13" i="13"/>
  <c r="AG13" i="13" s="1"/>
  <c r="AN13" i="13" s="1"/>
  <c r="AA15" i="13"/>
  <c r="AE15" i="13" s="1"/>
  <c r="AL15" i="13" s="1"/>
  <c r="AB16" i="13"/>
  <c r="AF16" i="13" s="1"/>
  <c r="AM16" i="13" s="1"/>
  <c r="AB14" i="13"/>
  <c r="AF14" i="13" s="1"/>
  <c r="AM14" i="13" s="1"/>
  <c r="AA18" i="13"/>
  <c r="AE18" i="13" s="1"/>
  <c r="AL18" i="13" s="1"/>
  <c r="AC7" i="13"/>
  <c r="AC10" i="13"/>
  <c r="AG10" i="13" s="1"/>
  <c r="AN10" i="13" s="1"/>
  <c r="AB17" i="13"/>
  <c r="AF17" i="13" s="1"/>
  <c r="AM17" i="13" s="1"/>
  <c r="Z15" i="13"/>
  <c r="AD15" i="13" s="1"/>
  <c r="AK15" i="13" s="1"/>
  <c r="AC11" i="13"/>
  <c r="AG11" i="13" s="1"/>
  <c r="AN11" i="13" s="1"/>
  <c r="Z9" i="13"/>
  <c r="AD9" i="13" s="1"/>
  <c r="AK9" i="13" s="1"/>
  <c r="AB13" i="13"/>
  <c r="AF13" i="13" s="1"/>
  <c r="AM13" i="13" s="1"/>
  <c r="AB11" i="13"/>
  <c r="AF11" i="13" s="1"/>
  <c r="AM11" i="13" s="1"/>
  <c r="AA10" i="13"/>
  <c r="AE10" i="13" s="1"/>
  <c r="AL10" i="13" s="1"/>
  <c r="AC14" i="13"/>
  <c r="AG14" i="13" s="1"/>
  <c r="AN14" i="13" s="1"/>
  <c r="AC8" i="13"/>
  <c r="AG8" i="13" s="1"/>
  <c r="AN8" i="13" s="1"/>
  <c r="Z17" i="13"/>
  <c r="AD17" i="13" s="1"/>
  <c r="AK17" i="13" s="1"/>
  <c r="AA11" i="13"/>
  <c r="AE11" i="13" s="1"/>
  <c r="AL11" i="13" s="1"/>
  <c r="AC12" i="13"/>
  <c r="AG12" i="13" s="1"/>
  <c r="AN12" i="13" s="1"/>
  <c r="AC9" i="13"/>
  <c r="AG9" i="13" s="1"/>
  <c r="AN9" i="13" s="1"/>
  <c r="AA12" i="13"/>
  <c r="AE12" i="13" s="1"/>
  <c r="AL12" i="13" s="1"/>
  <c r="Z11" i="13"/>
  <c r="AD11" i="13" s="1"/>
  <c r="AK11" i="13" s="1"/>
  <c r="AA13" i="13"/>
  <c r="AE13" i="13" s="1"/>
  <c r="AL13" i="13" s="1"/>
  <c r="AB12" i="13"/>
  <c r="AF12" i="13" s="1"/>
  <c r="AM12" i="13" s="1"/>
  <c r="AC17" i="13"/>
  <c r="AG17" i="13" s="1"/>
  <c r="AN17" i="13" s="1"/>
  <c r="AB18" i="13"/>
  <c r="AF18" i="13" s="1"/>
  <c r="AM18" i="13" s="1"/>
  <c r="AC16" i="13"/>
  <c r="AG16" i="13" s="1"/>
  <c r="AN16" i="13" s="1"/>
  <c r="Z16" i="13"/>
  <c r="AD16" i="13" s="1"/>
  <c r="AK16" i="13" s="1"/>
  <c r="Z17" i="4"/>
  <c r="AD17" i="4" s="1"/>
  <c r="AA17" i="4"/>
  <c r="AE17" i="4" s="1"/>
  <c r="AL17" i="4" s="1"/>
  <c r="Z9" i="4"/>
  <c r="AD9" i="4" s="1"/>
  <c r="Z8" i="4"/>
  <c r="AD8" i="4" s="1"/>
  <c r="Z10" i="4"/>
  <c r="AD10" i="4" s="1"/>
  <c r="Z12" i="4"/>
  <c r="AD12" i="4" s="1"/>
  <c r="AB13" i="4"/>
  <c r="AF13" i="4" s="1"/>
  <c r="AM13" i="4" s="1"/>
  <c r="AC17" i="4"/>
  <c r="AG17" i="4" s="1"/>
  <c r="AN17" i="4" s="1"/>
  <c r="Z15" i="4"/>
  <c r="AD15" i="4" s="1"/>
  <c r="Z14" i="4"/>
  <c r="AD14" i="4" s="1"/>
  <c r="Z13" i="4"/>
  <c r="AD13" i="4" s="1"/>
  <c r="Z16" i="4"/>
  <c r="AD16" i="4" s="1"/>
  <c r="Z19" i="4"/>
  <c r="AD19" i="4" s="1"/>
  <c r="Z11" i="4"/>
  <c r="AD11" i="4" s="1"/>
  <c r="AC15" i="4"/>
  <c r="AG15" i="4" s="1"/>
  <c r="AN15" i="4" s="1"/>
  <c r="AB9" i="4"/>
  <c r="AF9" i="4" s="1"/>
  <c r="AM9" i="4" s="1"/>
  <c r="AB10" i="4"/>
  <c r="AF10" i="4" s="1"/>
  <c r="AM10" i="4" s="1"/>
  <c r="AA12" i="4"/>
  <c r="AE12" i="4" s="1"/>
  <c r="AL12" i="4" s="1"/>
  <c r="AB16" i="4"/>
  <c r="AF16" i="4" s="1"/>
  <c r="AM16" i="4" s="1"/>
  <c r="AB12" i="4"/>
  <c r="AF12" i="4" s="1"/>
  <c r="AM12" i="4" s="1"/>
  <c r="AC14" i="4"/>
  <c r="AG14" i="4" s="1"/>
  <c r="AN14" i="4" s="1"/>
  <c r="AA11" i="4"/>
  <c r="AE11" i="4" s="1"/>
  <c r="AL11" i="4" s="1"/>
  <c r="Z18" i="4"/>
  <c r="AD18" i="4" s="1"/>
  <c r="AC13" i="4"/>
  <c r="AG13" i="4" s="1"/>
  <c r="AN13" i="4" s="1"/>
  <c r="AA10" i="4"/>
  <c r="AE10" i="4" s="1"/>
  <c r="AL10" i="4" s="1"/>
  <c r="AB14" i="4"/>
  <c r="AF14" i="4" s="1"/>
  <c r="AM14" i="4" s="1"/>
  <c r="AA16" i="4"/>
  <c r="AE16" i="4" s="1"/>
  <c r="AL16" i="4" s="1"/>
  <c r="AA8" i="4"/>
  <c r="AE8" i="4" s="1"/>
  <c r="AL8" i="4" s="1"/>
  <c r="AA15" i="4"/>
  <c r="AE15" i="4" s="1"/>
  <c r="AL15" i="4" s="1"/>
  <c r="AC19" i="4"/>
  <c r="AG19" i="4" s="1"/>
  <c r="AN19" i="4" s="1"/>
  <c r="AC12" i="4"/>
  <c r="AG12" i="4" s="1"/>
  <c r="AN12" i="4" s="1"/>
  <c r="AB11" i="4"/>
  <c r="AF11" i="4" s="1"/>
  <c r="AM11" i="4" s="1"/>
  <c r="AC10" i="4"/>
  <c r="AG10" i="4" s="1"/>
  <c r="AN10" i="4" s="1"/>
  <c r="AC11" i="4"/>
  <c r="AG11" i="4" s="1"/>
  <c r="AN11" i="4" s="1"/>
  <c r="AB8" i="4"/>
  <c r="AF8" i="4" s="1"/>
  <c r="AM8" i="4" s="1"/>
  <c r="AA19" i="4"/>
  <c r="AE19" i="4" s="1"/>
  <c r="AL19" i="4" s="1"/>
  <c r="AA13" i="4"/>
  <c r="AE13" i="4" s="1"/>
  <c r="AL13" i="4" s="1"/>
  <c r="AC9" i="4"/>
  <c r="AG9" i="4" s="1"/>
  <c r="AN9" i="4" s="1"/>
  <c r="AB15" i="4"/>
  <c r="AF15" i="4" s="1"/>
  <c r="AM15" i="4" s="1"/>
  <c r="AA14" i="4"/>
  <c r="AE14" i="4" s="1"/>
  <c r="AL14" i="4" s="1"/>
  <c r="AA9" i="4"/>
  <c r="AE9" i="4" s="1"/>
  <c r="AL9" i="4" s="1"/>
  <c r="AC16" i="4"/>
  <c r="AG16" i="4" s="1"/>
  <c r="AN16" i="4" s="1"/>
  <c r="AB17" i="4"/>
  <c r="AF17" i="4" s="1"/>
  <c r="AM17" i="4" s="1"/>
  <c r="AC8" i="4"/>
  <c r="AG8" i="4" s="1"/>
  <c r="AN8" i="4" s="1"/>
  <c r="AB19" i="4"/>
  <c r="AF19" i="4" s="1"/>
  <c r="AM19" i="4" s="1"/>
  <c r="AB18" i="4"/>
  <c r="AF18" i="4" s="1"/>
  <c r="AM18" i="4" s="1"/>
  <c r="Z7" i="4"/>
  <c r="AC18" i="4"/>
  <c r="AG18" i="4" s="1"/>
  <c r="AN18" i="4" s="1"/>
  <c r="AA18" i="4"/>
  <c r="AE18" i="4" s="1"/>
  <c r="AL18" i="4" s="1"/>
  <c r="AB7" i="4"/>
  <c r="AC7" i="4"/>
  <c r="AA7" i="4"/>
  <c r="AO11" i="13" l="1"/>
  <c r="AP11" i="13" s="1"/>
  <c r="AQ11" i="13" s="1"/>
  <c r="AO16" i="13"/>
  <c r="AO18" i="13"/>
  <c r="AO14" i="13"/>
  <c r="AO12" i="13"/>
  <c r="AO9" i="13"/>
  <c r="AB19" i="13"/>
  <c r="AF7" i="13"/>
  <c r="AO15" i="13"/>
  <c r="AO10" i="13"/>
  <c r="AO13" i="13"/>
  <c r="AA19" i="13"/>
  <c r="AE7" i="13"/>
  <c r="Z19" i="13"/>
  <c r="AD7" i="13"/>
  <c r="AC19" i="13"/>
  <c r="AG7" i="13"/>
  <c r="AO17" i="13"/>
  <c r="AO8" i="13"/>
  <c r="AK14" i="4"/>
  <c r="AK10" i="4"/>
  <c r="AB20" i="4"/>
  <c r="AF7" i="4"/>
  <c r="AK9" i="4"/>
  <c r="AK15" i="4"/>
  <c r="AK11" i="4"/>
  <c r="AA20" i="4"/>
  <c r="AE7" i="4"/>
  <c r="Z20" i="4"/>
  <c r="AD7" i="4"/>
  <c r="AK18" i="4"/>
  <c r="AK19" i="4"/>
  <c r="AK12" i="4"/>
  <c r="AK13" i="4"/>
  <c r="AC20" i="4"/>
  <c r="AG7" i="4"/>
  <c r="AK8" i="4"/>
  <c r="AK16" i="4"/>
  <c r="AK17" i="4"/>
  <c r="C32" i="2" l="1"/>
  <c r="F32" i="2" s="1"/>
  <c r="G32" i="2" s="1"/>
  <c r="H32" i="2" s="1"/>
  <c r="C34" i="2"/>
  <c r="AP13" i="13"/>
  <c r="AQ13" i="13" s="1"/>
  <c r="C29" i="2"/>
  <c r="AP8" i="13"/>
  <c r="AQ8" i="13" s="1"/>
  <c r="C31" i="2"/>
  <c r="AP10" i="13"/>
  <c r="AQ10" i="13" s="1"/>
  <c r="AM7" i="13"/>
  <c r="AM19" i="13" s="1"/>
  <c r="AV7" i="13" s="1"/>
  <c r="AV8" i="13" s="1"/>
  <c r="AF19" i="13"/>
  <c r="AP9" i="13"/>
  <c r="AQ9" i="13" s="1"/>
  <c r="C30" i="2"/>
  <c r="AK7" i="13"/>
  <c r="AD19" i="13"/>
  <c r="AP12" i="13"/>
  <c r="AQ12" i="13" s="1"/>
  <c r="C33" i="2"/>
  <c r="AN7" i="13"/>
  <c r="AN19" i="13" s="1"/>
  <c r="AW7" i="13" s="1"/>
  <c r="AW8" i="13" s="1"/>
  <c r="AG19" i="13"/>
  <c r="AP14" i="13"/>
  <c r="AQ14" i="13" s="1"/>
  <c r="C35" i="2"/>
  <c r="AP15" i="13"/>
  <c r="AQ15" i="13" s="1"/>
  <c r="C36" i="2"/>
  <c r="AP17" i="13"/>
  <c r="AQ17" i="13" s="1"/>
  <c r="C38" i="2"/>
  <c r="AL7" i="13"/>
  <c r="AL19" i="13" s="1"/>
  <c r="AU7" i="13" s="1"/>
  <c r="AU8" i="13" s="1"/>
  <c r="AE19" i="13"/>
  <c r="AP18" i="13"/>
  <c r="AQ18" i="13" s="1"/>
  <c r="C39" i="2"/>
  <c r="C37" i="2"/>
  <c r="AP16" i="13"/>
  <c r="AQ16" i="13" s="1"/>
  <c r="AO10" i="4"/>
  <c r="AP10" i="4" s="1"/>
  <c r="AG20" i="4"/>
  <c r="AN7" i="4"/>
  <c r="AN20" i="4" s="1"/>
  <c r="AW7" i="4" s="1"/>
  <c r="AW8" i="4" s="1"/>
  <c r="AD20" i="4"/>
  <c r="AK7" i="4"/>
  <c r="AO9" i="4"/>
  <c r="AP9" i="4" s="1"/>
  <c r="AE20" i="4"/>
  <c r="AL7" i="4"/>
  <c r="AL20" i="4" s="1"/>
  <c r="AU7" i="4" s="1"/>
  <c r="AU8" i="4" s="1"/>
  <c r="AO19" i="4"/>
  <c r="AP19" i="4" s="1"/>
  <c r="AO15" i="4"/>
  <c r="AP15" i="4" s="1"/>
  <c r="AO13" i="4"/>
  <c r="AP13" i="4" s="1"/>
  <c r="AO17" i="4"/>
  <c r="AP17" i="4" s="1"/>
  <c r="AO12" i="4"/>
  <c r="AP12" i="4" s="1"/>
  <c r="AM7" i="4"/>
  <c r="AM20" i="4" s="1"/>
  <c r="AV7" i="4" s="1"/>
  <c r="AV8" i="4" s="1"/>
  <c r="AF20" i="4"/>
  <c r="AO14" i="4"/>
  <c r="AP14" i="4" s="1"/>
  <c r="AO11" i="4"/>
  <c r="AP11" i="4" s="1"/>
  <c r="AO8" i="4"/>
  <c r="AP8" i="4" s="1"/>
  <c r="AO18" i="4"/>
  <c r="AP18" i="4" s="1"/>
  <c r="AO16" i="4"/>
  <c r="AP16" i="4" s="1"/>
  <c r="D32" i="2" l="1"/>
  <c r="E32" i="2" s="1"/>
  <c r="F30" i="2"/>
  <c r="G30" i="2" s="1"/>
  <c r="H30" i="2" s="1"/>
  <c r="D30" i="2"/>
  <c r="E30" i="2" s="1"/>
  <c r="F35" i="2"/>
  <c r="G35" i="2" s="1"/>
  <c r="H35" i="2" s="1"/>
  <c r="D35" i="2"/>
  <c r="E35" i="2" s="1"/>
  <c r="D31" i="2"/>
  <c r="E31" i="2" s="1"/>
  <c r="F31" i="2"/>
  <c r="G31" i="2" s="1"/>
  <c r="H31" i="2" s="1"/>
  <c r="F38" i="2"/>
  <c r="G38" i="2" s="1"/>
  <c r="H38" i="2" s="1"/>
  <c r="D38" i="2"/>
  <c r="E38" i="2" s="1"/>
  <c r="F36" i="2"/>
  <c r="G36" i="2" s="1"/>
  <c r="H36" i="2" s="1"/>
  <c r="D36" i="2"/>
  <c r="E36" i="2" s="1"/>
  <c r="F39" i="2"/>
  <c r="G39" i="2" s="1"/>
  <c r="H39" i="2" s="1"/>
  <c r="D39" i="2"/>
  <c r="E39" i="2" s="1"/>
  <c r="F29" i="2"/>
  <c r="G29" i="2" s="1"/>
  <c r="H29" i="2" s="1"/>
  <c r="D29" i="2"/>
  <c r="E29" i="2" s="1"/>
  <c r="F37" i="2"/>
  <c r="G37" i="2" s="1"/>
  <c r="H37" i="2" s="1"/>
  <c r="D37" i="2"/>
  <c r="E37" i="2" s="1"/>
  <c r="F33" i="2"/>
  <c r="G33" i="2" s="1"/>
  <c r="H33" i="2" s="1"/>
  <c r="D33" i="2"/>
  <c r="E33" i="2" s="1"/>
  <c r="AO7" i="13"/>
  <c r="AK19" i="13"/>
  <c r="AT7" i="13" s="1"/>
  <c r="AT8" i="13" s="1"/>
  <c r="AT10" i="13" s="1"/>
  <c r="D34" i="2"/>
  <c r="E34" i="2" s="1"/>
  <c r="F34" i="2"/>
  <c r="G34" i="2" s="1"/>
  <c r="H34" i="2" s="1"/>
  <c r="C17" i="2"/>
  <c r="AQ13" i="4"/>
  <c r="C20" i="2"/>
  <c r="AQ16" i="4"/>
  <c r="AQ15" i="4"/>
  <c r="C19" i="2"/>
  <c r="AQ18" i="4"/>
  <c r="C22" i="2"/>
  <c r="AQ14" i="4"/>
  <c r="C18" i="2"/>
  <c r="AQ19" i="4"/>
  <c r="C23" i="2"/>
  <c r="C14" i="2"/>
  <c r="AQ10" i="4"/>
  <c r="AQ17" i="4"/>
  <c r="C21" i="2"/>
  <c r="AQ11" i="4"/>
  <c r="C15" i="2"/>
  <c r="AQ9" i="4"/>
  <c r="C13" i="2"/>
  <c r="C12" i="2"/>
  <c r="AQ8" i="4"/>
  <c r="AQ12" i="4"/>
  <c r="C16" i="2"/>
  <c r="AK20" i="4"/>
  <c r="AT7" i="4" s="1"/>
  <c r="AT8" i="4" s="1"/>
  <c r="AT10" i="4" s="1"/>
  <c r="AO7" i="4"/>
  <c r="AP7" i="4" s="1"/>
  <c r="D6" i="2" l="1"/>
  <c r="AT11" i="13"/>
  <c r="C28" i="2"/>
  <c r="AP7" i="13"/>
  <c r="AP19" i="13" s="1"/>
  <c r="AT12" i="13" s="1"/>
  <c r="AO19" i="13"/>
  <c r="AO20" i="4"/>
  <c r="C11" i="2"/>
  <c r="AP20" i="4"/>
  <c r="AT12" i="4" s="1"/>
  <c r="AT14" i="4" s="1"/>
  <c r="F13" i="2"/>
  <c r="D13" i="2"/>
  <c r="E13" i="2" s="1"/>
  <c r="F14" i="2"/>
  <c r="D14" i="2"/>
  <c r="E14" i="2" s="1"/>
  <c r="AT11" i="4"/>
  <c r="D5" i="2"/>
  <c r="F18" i="2"/>
  <c r="D18" i="2"/>
  <c r="E18" i="2" s="1"/>
  <c r="F12" i="2"/>
  <c r="D12" i="2"/>
  <c r="E12" i="2" s="1"/>
  <c r="F20" i="2"/>
  <c r="D20" i="2"/>
  <c r="E20" i="2" s="1"/>
  <c r="D22" i="2"/>
  <c r="E22" i="2" s="1"/>
  <c r="F22" i="2"/>
  <c r="F19" i="2"/>
  <c r="D19" i="2"/>
  <c r="E19" i="2" s="1"/>
  <c r="D21" i="2"/>
  <c r="E21" i="2" s="1"/>
  <c r="F21" i="2"/>
  <c r="F23" i="2"/>
  <c r="D23" i="2"/>
  <c r="E23" i="2" s="1"/>
  <c r="F16" i="2"/>
  <c r="D16" i="2"/>
  <c r="E16" i="2" s="1"/>
  <c r="D15" i="2"/>
  <c r="E15" i="2" s="1"/>
  <c r="F15" i="2"/>
  <c r="D17" i="2"/>
  <c r="E17" i="2" s="1"/>
  <c r="F17" i="2"/>
  <c r="AQ7" i="13" l="1"/>
  <c r="AQ19" i="13" s="1"/>
  <c r="D7" i="2"/>
  <c r="F28" i="2"/>
  <c r="D28" i="2"/>
  <c r="C40" i="2"/>
  <c r="F6" i="2"/>
  <c r="G6" i="2" s="1"/>
  <c r="AT13" i="13"/>
  <c r="AT15" i="13" s="1"/>
  <c r="AT14" i="13"/>
  <c r="E6" i="2"/>
  <c r="G16" i="2"/>
  <c r="H16" i="2" s="1"/>
  <c r="E5" i="2"/>
  <c r="E7" i="2" s="1"/>
  <c r="G17" i="2"/>
  <c r="H17" i="2" s="1"/>
  <c r="F5" i="2"/>
  <c r="AT13" i="4"/>
  <c r="AT15" i="4" s="1"/>
  <c r="G21" i="2"/>
  <c r="H21" i="2" s="1"/>
  <c r="G12" i="2"/>
  <c r="H12" i="2" s="1"/>
  <c r="C24" i="2"/>
  <c r="D11" i="2"/>
  <c r="D24" i="2" s="1"/>
  <c r="F11" i="2"/>
  <c r="G13" i="2"/>
  <c r="H13" i="2" s="1"/>
  <c r="AQ7" i="4"/>
  <c r="AQ20" i="4" s="1"/>
  <c r="G18" i="2"/>
  <c r="H18" i="2" s="1"/>
  <c r="G19" i="2"/>
  <c r="H19" i="2" s="1"/>
  <c r="G23" i="2"/>
  <c r="H23" i="2" s="1"/>
  <c r="G15" i="2"/>
  <c r="H15" i="2" s="1"/>
  <c r="G14" i="2"/>
  <c r="H14" i="2" s="1"/>
  <c r="G20" i="2"/>
  <c r="H20" i="2" s="1"/>
  <c r="G22" i="2"/>
  <c r="H22" i="2" s="1"/>
  <c r="H6" i="2" l="1"/>
  <c r="I6" i="2" s="1"/>
  <c r="E28" i="2"/>
  <c r="E40" i="2" s="1"/>
  <c r="D40" i="2"/>
  <c r="F7" i="2"/>
  <c r="G28" i="2"/>
  <c r="G40" i="2" s="1"/>
  <c r="F40" i="2"/>
  <c r="H28" i="2"/>
  <c r="H40" i="2" s="1"/>
  <c r="I13" i="2"/>
  <c r="I32" i="2"/>
  <c r="I28" i="2"/>
  <c r="I38" i="2"/>
  <c r="I29" i="2"/>
  <c r="I34" i="2"/>
  <c r="I36" i="2"/>
  <c r="I37" i="2"/>
  <c r="I39" i="2"/>
  <c r="I33" i="2"/>
  <c r="I30" i="2"/>
  <c r="I35" i="2"/>
  <c r="I31" i="2"/>
  <c r="E11" i="2"/>
  <c r="E24" i="2" s="1"/>
  <c r="I16" i="2"/>
  <c r="G5" i="2"/>
  <c r="G7" i="2" s="1"/>
  <c r="I23" i="2"/>
  <c r="I17" i="2"/>
  <c r="I15" i="2"/>
  <c r="I12" i="2"/>
  <c r="I14" i="2"/>
  <c r="H5" i="2"/>
  <c r="I20" i="2"/>
  <c r="I18" i="2"/>
  <c r="I21" i="2"/>
  <c r="I22" i="2"/>
  <c r="F24" i="2"/>
  <c r="G11" i="2"/>
  <c r="G24" i="2" s="1"/>
  <c r="I11" i="2"/>
  <c r="I19" i="2"/>
  <c r="H7" i="2" l="1"/>
  <c r="F11" i="1" s="1"/>
  <c r="G11" i="1" s="1"/>
  <c r="I40" i="2"/>
  <c r="H11" i="2"/>
  <c r="H24" i="2" s="1"/>
  <c r="I24" i="2"/>
  <c r="I5" i="2"/>
  <c r="I7" i="2" s="1"/>
</calcChain>
</file>

<file path=xl/sharedStrings.xml><?xml version="1.0" encoding="utf-8"?>
<sst xmlns="http://schemas.openxmlformats.org/spreadsheetml/2006/main" count="807" uniqueCount="313">
  <si>
    <t>PLANILHA DETALHADA DE FORMAÇÃO DE PREÇO</t>
  </si>
  <si>
    <t>POLO I</t>
  </si>
  <si>
    <t>NÃO DESONERADA</t>
  </si>
  <si>
    <t>ITEM</t>
  </si>
  <si>
    <t>DESCRIÇÃO DO SERVIÇO</t>
  </si>
  <si>
    <t>UN.</t>
  </si>
  <si>
    <t>QTE.</t>
  </si>
  <si>
    <t>PREÇO UNITÁRIO (R$)</t>
  </si>
  <si>
    <t>PREÇO TOTAL 24 MESES (R$)</t>
  </si>
  <si>
    <t>Serviço de manutenção predial preventiva e corretiva por demanda, com fornecimento de materiais, peças e componentes, nos imóveis relacionados no Polo Regional I.</t>
  </si>
  <si>
    <t>Mês</t>
  </si>
  <si>
    <t>VALOR TOTAL DO ITEM 1: R$ 3.503.979,60 (três milhões, quinhentos e três mil, novecentos e setenta e nove reais e sessenta centavos)</t>
  </si>
  <si>
    <t>BASE</t>
  </si>
  <si>
    <t>ÁREA TOTAL (m²)</t>
  </si>
  <si>
    <t>CUSTO MÉDIO MENSAL (PREVENTIVA)</t>
  </si>
  <si>
    <t>CUSTO ANUAL (PREVENTIVA)</t>
  </si>
  <si>
    <t>CUSTO MÉDIO MENSAL (CORRETIVA)</t>
  </si>
  <si>
    <t>CUSTO ANUAL (CORRETIVA)</t>
  </si>
  <si>
    <t>CUSTO MÉDIO MENSAL MANUTENÇÃO</t>
  </si>
  <si>
    <t>CUSTO ANUAL MANUTENÇÃO</t>
  </si>
  <si>
    <t>MARINGÁ</t>
  </si>
  <si>
    <t>CASCAVEL</t>
  </si>
  <si>
    <t>Custo Médio Mensal</t>
  </si>
  <si>
    <t>Custo Anual</t>
  </si>
  <si>
    <t>Percentual por unidade</t>
  </si>
  <si>
    <t>Preventiva</t>
  </si>
  <si>
    <t>Corretiva</t>
  </si>
  <si>
    <t>Total</t>
  </si>
  <si>
    <t>%</t>
  </si>
  <si>
    <t>Valores SINAPI*</t>
  </si>
  <si>
    <t>Engenheiro Civil (ref. SINAPI/90778)</t>
  </si>
  <si>
    <t>Engenheiro eletricista (comp. própria)</t>
  </si>
  <si>
    <t>Auxiliar Técnico (ref. SINAPI/88255)</t>
  </si>
  <si>
    <t>Quantidade de horas/mês</t>
  </si>
  <si>
    <t>Custo mensal</t>
  </si>
  <si>
    <t>Custo anual</t>
  </si>
  <si>
    <t>* SINAPI Maio/2025 (Não Desonerado)</t>
  </si>
  <si>
    <t>CUSTO POR PERÍODO (Sem BDI)</t>
  </si>
  <si>
    <t>Custo mensal da equipe</t>
  </si>
  <si>
    <t>Custo anual da equipe</t>
  </si>
  <si>
    <t>UNIDADE</t>
  </si>
  <si>
    <t>Área (m²)</t>
  </si>
  <si>
    <t>Horas</t>
  </si>
  <si>
    <t>GEX / APS</t>
  </si>
  <si>
    <t>Custo da equipe em execução por rotina</t>
  </si>
  <si>
    <t>Custos mensais</t>
  </si>
  <si>
    <t>Custo Equipe técnica</t>
  </si>
  <si>
    <t>Custo total por rotina (SEM BDI)</t>
  </si>
  <si>
    <t>Custo total por rotina (COM BDI)</t>
  </si>
  <si>
    <t>Custo Mensal de Manutenção por unidade</t>
  </si>
  <si>
    <t>Uso constante</t>
  </si>
  <si>
    <t>Uso esporádico</t>
  </si>
  <si>
    <t>Ociosa</t>
  </si>
  <si>
    <t>Área corrigida</t>
  </si>
  <si>
    <t>horas p visita mensal (h)</t>
  </si>
  <si>
    <t>horas p visita trimestral (h)</t>
  </si>
  <si>
    <t>Possui hidrante?</t>
  </si>
  <si>
    <t>Possui subestação?</t>
  </si>
  <si>
    <t>horas p visita semestral(h)</t>
  </si>
  <si>
    <t>horas p visita anual(h)</t>
  </si>
  <si>
    <t>Total horas p/ ano</t>
  </si>
  <si>
    <t>Mensal</t>
  </si>
  <si>
    <t>Trimestral</t>
  </si>
  <si>
    <t>Semestral</t>
  </si>
  <si>
    <t>Anual</t>
  </si>
  <si>
    <t>Equipe em desl.</t>
  </si>
  <si>
    <t>Pernoite</t>
  </si>
  <si>
    <t>Pedágio</t>
  </si>
  <si>
    <t>Veículo</t>
  </si>
  <si>
    <t>Total de horas de execução do Polo:</t>
  </si>
  <si>
    <t>BDI</t>
  </si>
  <si>
    <t>Custo Médio Mensal Preventiva</t>
  </si>
  <si>
    <t>Custo Médio Mensal Corretiva</t>
  </si>
  <si>
    <t>Custo Médio Mensal Manutenção</t>
  </si>
  <si>
    <t>Custos / Rotinas</t>
  </si>
  <si>
    <t>coeficiente</t>
  </si>
  <si>
    <t>12 rotinas</t>
  </si>
  <si>
    <t>4 rotinas</t>
  </si>
  <si>
    <t>2 rotinas</t>
  </si>
  <si>
    <t>1 rotina</t>
  </si>
  <si>
    <t>APS ASTORGA</t>
  </si>
  <si>
    <t>Custo por tipo de rotina</t>
  </si>
  <si>
    <t>APS CAMPO MOURÃO</t>
  </si>
  <si>
    <t>Custo Anual por tipo de rotina</t>
  </si>
  <si>
    <t>APS CIANORTE</t>
  </si>
  <si>
    <t>APS COLORADO</t>
  </si>
  <si>
    <t>APS CRUZEIRO DO OESTE</t>
  </si>
  <si>
    <t>Custo Anual Preventiva</t>
  </si>
  <si>
    <t>APS LOANDA</t>
  </si>
  <si>
    <t>APS MANDAGUARI</t>
  </si>
  <si>
    <t>Custo Anual Corretiva</t>
  </si>
  <si>
    <t>APS NOVA ESPERANÇA</t>
  </si>
  <si>
    <t>APS PAIÇANDU</t>
  </si>
  <si>
    <t>Custo Anual Manutenção</t>
  </si>
  <si>
    <t>APS PARANAVAÍ</t>
  </si>
  <si>
    <t>APS UMUARAMA</t>
  </si>
  <si>
    <t>CEDOCPREV MARINGÁ</t>
  </si>
  <si>
    <t>GEX/APS MARINGÁ</t>
  </si>
  <si>
    <t>TOTAL</t>
  </si>
  <si>
    <t>Oficial de Manutenção Predial</t>
  </si>
  <si>
    <t>Ajudante (ref. SINAPI/88241)</t>
  </si>
  <si>
    <t>Eletrotécnico (ref. SINAPI/88266)</t>
  </si>
  <si>
    <t>Rotas</t>
  </si>
  <si>
    <t>Trecho 1 (Km)</t>
  </si>
  <si>
    <t>Trecho 2 (Km)</t>
  </si>
  <si>
    <t>Trecho 3 (Km)</t>
  </si>
  <si>
    <t>Total (Km)</t>
  </si>
  <si>
    <t>Trecho 1 (min)</t>
  </si>
  <si>
    <t>Trecho 2 (min)</t>
  </si>
  <si>
    <t>Trecho 3 (min)</t>
  </si>
  <si>
    <t>Total (min)</t>
  </si>
  <si>
    <t>Total (horas)</t>
  </si>
  <si>
    <t>Pedágio (ida e volta) *</t>
  </si>
  <si>
    <t>Unidades na rota</t>
  </si>
  <si>
    <t>Média horas p/ unidade</t>
  </si>
  <si>
    <t>Média pedágio p/ unidade</t>
  </si>
  <si>
    <t>Subestação?</t>
  </si>
  <si>
    <t>inclui eletrotécnico no deslocamento ?</t>
  </si>
  <si>
    <t>Custo do Veículo</t>
  </si>
  <si>
    <t>Composição*</t>
  </si>
  <si>
    <t>Descrição</t>
  </si>
  <si>
    <t>Unidade</t>
  </si>
  <si>
    <t>Valor</t>
  </si>
  <si>
    <t>92145/SINAPI</t>
  </si>
  <si>
    <t>CAMINHONETE CABINE SIMPLES</t>
  </si>
  <si>
    <t>CHP</t>
  </si>
  <si>
    <t>92146/SINAPI</t>
  </si>
  <si>
    <t>CHI</t>
  </si>
  <si>
    <t>* Nas composições utilizadas foram retirados os custos com motorista, pelo fato da própria equipe conduzir o veículo. A composição detalhada encontra-se em planilha apartada.</t>
  </si>
  <si>
    <t>Custo Mensal do Veículo</t>
  </si>
  <si>
    <t>Pedágios</t>
  </si>
  <si>
    <t>Insumo*</t>
  </si>
  <si>
    <t>2454/AGETOP</t>
  </si>
  <si>
    <t>PERNOITE EM QUARTO SOLTEIRO C/ AR CONDICIONADO OU VENTILADOR</t>
  </si>
  <si>
    <t>UN</t>
  </si>
  <si>
    <t>* Tabela AGETOP CIVIL Fevereiro/2025.</t>
  </si>
  <si>
    <t>APS GOIOERÊ</t>
  </si>
  <si>
    <t>GEX CASCAVEL</t>
  </si>
  <si>
    <t>APS CASCAVEL</t>
  </si>
  <si>
    <t>APS TOLEDO</t>
  </si>
  <si>
    <t>APS MARECHAL CÂNDIDO RONDON</t>
  </si>
  <si>
    <t>APS ASSIS CHATEAUBRIAND</t>
  </si>
  <si>
    <t>APS PALOTINA</t>
  </si>
  <si>
    <t>APS GUAÍRA</t>
  </si>
  <si>
    <t>APS MEDIANEIRA</t>
  </si>
  <si>
    <t>APS SÃO MIGUEL DO IGUAÇU</t>
  </si>
  <si>
    <t>APS FOZ DO IGUAÇU</t>
  </si>
  <si>
    <t>APS QUEDAS DO IGUAÇU</t>
  </si>
  <si>
    <t>COMPOSIÇÃO CUSTO DO VEÍCULO</t>
  </si>
  <si>
    <t>Composição ALTERADA SINAPI – 92145 (SEM MOTORISTA)</t>
  </si>
  <si>
    <t>Código</t>
  </si>
  <si>
    <t>92145</t>
  </si>
  <si>
    <t>CAMINHONETE CABINE SIMPLES COM MOTOR 1.6 FLEX, CÂMBIO MANUAL, POTÊNCIA 101/104 CV, 2 PORTAS - CHP DIURNO. AF_11/2015</t>
  </si>
  <si>
    <t>Data</t>
  </si>
  <si>
    <t>05/2025</t>
  </si>
  <si>
    <t>Estado</t>
  </si>
  <si>
    <t>PARANÁ</t>
  </si>
  <si>
    <t>Tipo</t>
  </si>
  <si>
    <t>Custos Horários Produtivo e Improdutivo dos Equipamentos</t>
  </si>
  <si>
    <t>codigo</t>
  </si>
  <si>
    <t>Valor Unitário</t>
  </si>
  <si>
    <t>Coeficiente</t>
  </si>
  <si>
    <t>C</t>
  </si>
  <si>
    <t>92140</t>
  </si>
  <si>
    <t>CAMINHONETE CABINE SIMPLES COM MOTOR 1.6 FLEX, CÂMBIO MANUAL, POTÊNCIA 101/104 CV, 2 PORTAS - DEPRECIAÇÃO. AF_11/2015</t>
  </si>
  <si>
    <t>Depreciação, Juros, Impostos e Seguros, Manutenção e Materiais na Operação dos Equipamentos</t>
  </si>
  <si>
    <t>H</t>
  </si>
  <si>
    <t>92141</t>
  </si>
  <si>
    <t>CAMINHONETE CABINE SIMPLES COM MOTOR 1.6 FLEX, CÂMBIO MANUAL, POTÊNCIA 101/104 CV, 2 PORTAS - JUROS. AF_11/2015</t>
  </si>
  <si>
    <t>92142</t>
  </si>
  <si>
    <t>CAMINHONETE CABINE SIMPLES COM MOTOR 1.6 FLEX, CÂMBIO MANUAL, POTÊNCIA 101/104 CV, 2 PORTAS - IMPOSTOS E SEGUROS. AF_11/2015</t>
  </si>
  <si>
    <t>92143</t>
  </si>
  <si>
    <t>CAMINHONETE CABINE SIMPLES COM MOTOR 1.6 FLEX, CÂMBIO MANUAL, POTÊNCIA 101/104 CV, 2 PORTAS - MANUTENÇÃO. AF_11/2015</t>
  </si>
  <si>
    <t>92144</t>
  </si>
  <si>
    <t>CAMINHONETE CABINE SIMPLES COM MOTOR 1.6 FLEX, CÂMBIO MANUAL, POTÊNCIA 101/104 CV, 2 PORTAS - MATERIAIS NA OPERAÇÃO. AF_11/2015</t>
  </si>
  <si>
    <t>Composição ALTERADA SINAPI – 92146 (SEM MOTORISTA)</t>
  </si>
  <si>
    <t>92146</t>
  </si>
  <si>
    <t>CAMINHONETE CABINE SIMPLES COM MOTOR 1.6 FLEX, CÂMBIO MANUAL, POTÊNCIA 101/104 CV, 2 PORTAS - CHI DIURNO. AF_11/2015</t>
  </si>
  <si>
    <t>Profissional</t>
  </si>
  <si>
    <t>ENGENHEIRO ELETRICISTA</t>
  </si>
  <si>
    <t>Referência</t>
  </si>
  <si>
    <t>99275 / insumo SBC</t>
  </si>
  <si>
    <t>Data base</t>
  </si>
  <si>
    <t>Custo do insumo (h)</t>
  </si>
  <si>
    <t>Encargos Sociais (*) - (ES)</t>
  </si>
  <si>
    <t>Apêndice 16: Encargos Sociais – Paraná</t>
  </si>
  <si>
    <t>Horista Desonerado</t>
  </si>
  <si>
    <t>Horista Não Desonerado</t>
  </si>
  <si>
    <t>Cálculo custo do funcionário</t>
  </si>
  <si>
    <r>
      <rPr>
        <sz val="10"/>
        <rFont val="Arial"/>
        <family val="2"/>
        <charset val="1"/>
      </rPr>
      <t>Horista Desonerado - H</t>
    </r>
    <r>
      <rPr>
        <vertAlign val="subscript"/>
        <sz val="10"/>
        <rFont val="Arial"/>
        <family val="2"/>
        <charset val="1"/>
      </rPr>
      <t>desonerado</t>
    </r>
  </si>
  <si>
    <r>
      <rPr>
        <sz val="10"/>
        <rFont val="Arial"/>
        <family val="2"/>
        <charset val="1"/>
      </rPr>
      <t>Horista Não Desonerado - H</t>
    </r>
    <r>
      <rPr>
        <vertAlign val="subscript"/>
        <sz val="10"/>
        <rFont val="Arial"/>
        <family val="2"/>
        <charset val="1"/>
      </rPr>
      <t>não_desonerado</t>
    </r>
  </si>
  <si>
    <t>(*) Fonte: Livro SINAPI: Referências para Custos Horários e Encargos: Sistema Nacional de Pesquisa de Custos e Índices da Construção Civil / Caixa Econômica Federal. – 7ª Ed. – Brasília: CAIXA, Junho/2025.</t>
  </si>
  <si>
    <t>COMPOSIÇÃO CUSTO ENGENHEIRO ELETRICISTA</t>
  </si>
  <si>
    <t>Composição ALTERADA SINAPI – 91677</t>
  </si>
  <si>
    <t>ENGENHEIRO ELETRICISTA COM ENCARGOS COMPLEMENTARES</t>
  </si>
  <si>
    <t>SEDI - SERVIÇOS DIVERSOS</t>
  </si>
  <si>
    <t>Valor Unitário Não Desonerado</t>
  </si>
  <si>
    <t>Valor Não Desonerado</t>
  </si>
  <si>
    <t>95404/SINAPI Alterada (*)</t>
  </si>
  <si>
    <t>CURSO DE CAPACITAÇÃO PARA ENGENHEIRO ELETRICISTA</t>
  </si>
  <si>
    <t>-</t>
  </si>
  <si>
    <t>I</t>
  </si>
  <si>
    <t>99275/SBC</t>
  </si>
  <si>
    <t>Mão de Obra</t>
  </si>
  <si>
    <t xml:space="preserve"> 00037372 </t>
  </si>
  <si>
    <t>EXAMES - HORISTA (COLETADO CAIXA - ENCARGOS COMPLEMENTARES)</t>
  </si>
  <si>
    <t>Material</t>
  </si>
  <si>
    <t xml:space="preserve"> 00037373 </t>
  </si>
  <si>
    <t>SEGURO - HORISTA (COLETADO CAIXA - ENCARGOS COMPLEMENTARES)</t>
  </si>
  <si>
    <t xml:space="preserve"> 00043462 </t>
  </si>
  <si>
    <t>FERRAMENTAS - FAMILIA ENGENHEIRO CIVIL - HORISTA (ENCARGOS COMPLEMENTARES - COLETADO CAIXA)</t>
  </si>
  <si>
    <t xml:space="preserve"> 00043486 </t>
  </si>
  <si>
    <t>EPI - FAMILIA ENGENHEIRO CIVIL - HORISTA (ENCARGOS COMPLEMENTARES - COLETADO CAIXA)</t>
  </si>
  <si>
    <t>(*) 95404/SINAPI Alterada: Multiplicado o valor unitário do insumo calculado para engenheiro eletricista com encargos complementares pelo coeficiente 0,0341 (% treinamento rotatividade 14,98 horista, extraído da Tabela 3.36: % Quantitativo das Horas de Capacitação – Horista, para função Engenheiro Eletricista com Encargos Complementares).
Fonte: Livro SINAPI: Referências para Custos Horários e Encargos: Sistema Nacional de Pesquisa de Custos e Índices da Construção Civil / Caixa Econômica Federal. – 7ª Ed. – Brasília: CAIXA, Junho/2025.</t>
  </si>
  <si>
    <t>Categoria</t>
  </si>
  <si>
    <t>Profissional (*)</t>
  </si>
  <si>
    <t>Convenção coletiva</t>
  </si>
  <si>
    <r>
      <rPr>
        <sz val="10"/>
        <rFont val="Arial"/>
        <family val="2"/>
        <charset val="1"/>
      </rPr>
      <t>CCT</t>
    </r>
    <r>
      <rPr>
        <sz val="12"/>
        <rFont val="Arial"/>
        <family val="2"/>
        <charset val="1"/>
      </rPr>
      <t xml:space="preserve"> </t>
    </r>
    <r>
      <rPr>
        <sz val="10"/>
        <color rgb="FF000000"/>
        <rFont val="Arial;Arial"/>
        <family val="2"/>
        <charset val="1"/>
      </rPr>
      <t xml:space="preserve"> PR001850/2024</t>
    </r>
  </si>
  <si>
    <t>01 de junho</t>
  </si>
  <si>
    <t>Abrangência</t>
  </si>
  <si>
    <t>Trabalhadores das indústrias da construção civil de Curitiba/PR e região</t>
  </si>
  <si>
    <t>Salário base (SB)</t>
  </si>
  <si>
    <t>Encargos Sociais (**) - (ES)
Apêndice 16: Encargos Sociais – Paraná</t>
  </si>
  <si>
    <t>Mensalista Desonerado</t>
  </si>
  <si>
    <t>Mensalista Não Desonerado</t>
  </si>
  <si>
    <t>Cálculo custo do funcionário (***)</t>
  </si>
  <si>
    <r>
      <rPr>
        <sz val="10"/>
        <rFont val="Arial"/>
        <family val="2"/>
        <charset val="1"/>
      </rPr>
      <t>Mensalista Desonerado (M</t>
    </r>
    <r>
      <rPr>
        <vertAlign val="subscript"/>
        <sz val="10"/>
        <rFont val="Arial"/>
        <family val="2"/>
        <charset val="1"/>
      </rPr>
      <t>desonerado</t>
    </r>
    <r>
      <rPr>
        <sz val="10"/>
        <rFont val="Arial"/>
        <family val="2"/>
        <charset val="1"/>
      </rPr>
      <t>=SB*(1+ES</t>
    </r>
    <r>
      <rPr>
        <vertAlign val="subscript"/>
        <sz val="10"/>
        <rFont val="Arial"/>
        <family val="2"/>
        <charset val="1"/>
      </rPr>
      <t>desonerado</t>
    </r>
    <r>
      <rPr>
        <sz val="10"/>
        <rFont val="Arial"/>
        <family val="2"/>
        <charset val="1"/>
      </rPr>
      <t>))</t>
    </r>
  </si>
  <si>
    <r>
      <rPr>
        <sz val="10"/>
        <rFont val="Arial"/>
        <family val="2"/>
        <charset val="1"/>
      </rPr>
      <t>Mensalista Não desonerado (M</t>
    </r>
    <r>
      <rPr>
        <vertAlign val="subscript"/>
        <sz val="10"/>
        <rFont val="Arial"/>
        <family val="2"/>
        <charset val="1"/>
      </rPr>
      <t>não_desonerado</t>
    </r>
    <r>
      <rPr>
        <sz val="10"/>
        <rFont val="Arial"/>
        <family val="2"/>
        <charset val="1"/>
      </rPr>
      <t>=SB*(1+ES</t>
    </r>
    <r>
      <rPr>
        <vertAlign val="subscript"/>
        <sz val="10"/>
        <rFont val="Arial"/>
        <family val="2"/>
        <charset val="1"/>
      </rPr>
      <t>não_desonerado</t>
    </r>
    <r>
      <rPr>
        <sz val="10"/>
        <rFont val="Arial"/>
        <family val="2"/>
        <charset val="1"/>
      </rPr>
      <t>))</t>
    </r>
  </si>
  <si>
    <r>
      <rPr>
        <sz val="10"/>
        <rFont val="Arial"/>
        <family val="2"/>
        <charset val="1"/>
      </rPr>
      <t>Horista Desonerado (****) - (H</t>
    </r>
    <r>
      <rPr>
        <vertAlign val="subscript"/>
        <sz val="10"/>
        <rFont val="Arial"/>
        <family val="2"/>
        <charset val="1"/>
      </rPr>
      <t>desonerado</t>
    </r>
    <r>
      <rPr>
        <sz val="10"/>
        <rFont val="Arial"/>
        <family val="2"/>
        <charset val="1"/>
      </rPr>
      <t>=M</t>
    </r>
    <r>
      <rPr>
        <vertAlign val="subscript"/>
        <sz val="10"/>
        <rFont val="Arial"/>
        <family val="2"/>
        <charset val="1"/>
      </rPr>
      <t>desonerado</t>
    </r>
    <r>
      <rPr>
        <sz val="10"/>
        <rFont val="Arial"/>
        <family val="2"/>
        <charset val="1"/>
      </rPr>
      <t>(1+</t>
    </r>
  </si>
  <si>
    <r>
      <rPr>
        <sz val="10"/>
        <rFont val="Arial"/>
        <family val="2"/>
        <charset val="1"/>
      </rPr>
      <t>Horista Não Desonerado (****) - H</t>
    </r>
    <r>
      <rPr>
        <vertAlign val="subscript"/>
        <sz val="10"/>
        <rFont val="Arial"/>
        <family val="2"/>
        <charset val="1"/>
      </rPr>
      <t>não_desonerado</t>
    </r>
  </si>
  <si>
    <t>(*) Descrição da categoria na CCT</t>
  </si>
  <si>
    <r>
      <rPr>
        <b/>
        <sz val="11"/>
        <color rgb="FF000000"/>
        <rFont val="Arial"/>
        <family val="2"/>
      </rPr>
      <t>a.3  - PROFISSIONAL -</t>
    </r>
    <r>
      <rPr>
        <sz val="11"/>
        <color rgb="FF000000"/>
        <rFont val="Arial"/>
        <family val="2"/>
        <charset val="1"/>
      </rPr>
      <t xml:space="preserve"> é todo trabalhador que, possuindo amplos e especializados conhecimentos de seu ofício, tem capacidade para realizá-lo com produtividade e desembaraço. Nesta categoria estão incluídas as diferentes funções inerentes ao ramo, cujas principais atividades são: pedreiro, carpinteiro, armador, encanador, eletricista, pintor, soldador, azulejista, almoxarife, apontador, guincheiro, calceteiro, cozinheiro(a), montador de guindastes, montador de estruturas metálicas, operador de equipamentos de terraplenagem, bate-estacas, perfuradeiras de solo para fundação e colocador de placa de gesso acartonado;</t>
    </r>
  </si>
  <si>
    <t>(**) Fonte: Livro SINAPI: Referências para Custos Horários e Encargos: Sistema Nacional de Pesquisa de Custos e Índices da Construção Civil / Caixa Econômica Federal. – 7ª Ed. – Brasília: CAIXA, Junho/2025.</t>
  </si>
  <si>
    <t>(***) Fonte: SINAPI: Metodologias e Conceitos: Sistema Nacional de Pesquisa de Custos e Índices da Construção Civil / Caixa Econômica Federal. – 10ª Ed. – Brasília: CAIXA, Junho/2025.</t>
  </si>
  <si>
    <t>(****) Fórmula para cálculo do custo do horista, com base no custo do mensalista (Livro Metodologias e Conceitos, página 80)</t>
  </si>
  <si>
    <t>COMPOSIÇÃO CUSTO OFICIAL DE MANUTENÇÃO PREDIAL (CBO 5143-25)</t>
  </si>
  <si>
    <t>Composição ALTERADA SINAPI – 88264</t>
  </si>
  <si>
    <t>OFICIAL DE MANUTENÇÃO PREDIAL COM ENCARGOS COMPLEMENTARES (CBO 5143-25)</t>
  </si>
  <si>
    <t>Livro SINAPI: Cálculos e Parâmetros</t>
  </si>
  <si>
    <t>CURSO DE CAPACITAÇÃO PARA ELETRICISTA (ENCARGOS COMPLEMENTARES) - HORISTA</t>
  </si>
  <si>
    <t>CCT</t>
  </si>
  <si>
    <t>OFICIAL DE MANUTENÇÃO PREDIAL (CBO 5413-25)</t>
  </si>
  <si>
    <t>ALIMENTACAO - HORISTA (COLETADO CAIXA - ENCARGOS COMPLEMENTARES)</t>
  </si>
  <si>
    <t>TRANSPORTE - HORISTA (COLETADO CAIXA - ENCARGOS COMPLEMENTARES)</t>
  </si>
  <si>
    <t>FERRAMENTAS - FAMILIA ELETRICISTA - HORISTA (ENCARGOS COMPLEMENTARES - COLETADO CAIXA)</t>
  </si>
  <si>
    <t>FERRAMENTAS - FAMILIA ENCANADOR - HORISTA (ENCARGOS COMPLEMENTARES - COLETADO CAIXA)</t>
  </si>
  <si>
    <t>EPI – FAMILIA ELETRICISTA - HORISTA (ENCARGOS COMPLEMENTARES - COLETADO CAIXA)</t>
  </si>
  <si>
    <t>GERÊNCIA</t>
  </si>
  <si>
    <t>ENDEREÇO</t>
  </si>
  <si>
    <t>TEMPO DE DESLOCAMENTO IDA E VOLTA DA BASE EM HORAS</t>
  </si>
  <si>
    <t>ISS</t>
  </si>
  <si>
    <t>ÁREA CONSTRUÍDA (M²)</t>
  </si>
  <si>
    <t>Uso constante
(M²)</t>
  </si>
  <si>
    <t>Uso esporádico (M²)</t>
  </si>
  <si>
    <t>Ociosa (M²)</t>
  </si>
  <si>
    <t>HIDRANTE</t>
  </si>
  <si>
    <t>SUBESTAÇÃO</t>
  </si>
  <si>
    <t>Rua Nossa Senhora Aparecida, 181</t>
  </si>
  <si>
    <t>NÃO</t>
  </si>
  <si>
    <t>Av. Manoel Mendes de Camargo, 290, Centro</t>
  </si>
  <si>
    <t>SIM</t>
  </si>
  <si>
    <t>Av. Goiás, 17</t>
  </si>
  <si>
    <t>Rua Adinael Moreira, 11</t>
  </si>
  <si>
    <t>Av. Brasil, 3025, Jardim da Luz</t>
  </si>
  <si>
    <t>Rua Deputado Accioly Filho, 130, Centro</t>
  </si>
  <si>
    <t>Av. Marcos Dias, 315</t>
  </si>
  <si>
    <t>Av. Felipe Camarão, 945</t>
  </si>
  <si>
    <t>Rua Onésio Francisco de Faria, 755</t>
  </si>
  <si>
    <t>Rua Salgado Filho, 789</t>
  </si>
  <si>
    <t>Rua Inajá, 3610</t>
  </si>
  <si>
    <t>Av. Mauá, 1088</t>
  </si>
  <si>
    <t>Av. XV de Novembro, 491</t>
  </si>
  <si>
    <t>Av. Libertadores da América, 145</t>
  </si>
  <si>
    <t>Rua General Osório, 3423, Centro</t>
  </si>
  <si>
    <t>Rua São Paulo, 603, Centro</t>
  </si>
  <si>
    <t>Rua Rui Barbosa, 2989, Jd. Gisela</t>
  </si>
  <si>
    <t>Av. Rio Grande do Sul, 270</t>
  </si>
  <si>
    <t>Rua São Luís, 275</t>
  </si>
  <si>
    <t>Rua Vereador Antônio Pozzan, 1797, Centro</t>
  </si>
  <si>
    <t>Rua Paraguai, 1145 , Vila Velha</t>
  </si>
  <si>
    <t>Rua Riachuelo, 897</t>
  </si>
  <si>
    <t>Rua Nereu Ramos, 1313, Centro</t>
  </si>
  <si>
    <t>Av. Paraná, 1661</t>
  </si>
  <si>
    <t>Rua Romeiras, 528</t>
  </si>
  <si>
    <t>PLANILHA DE COMPOSIÇÃO DAS TAXAS DE BONIFICAÇÃO E DESPESAS INDIRETAS (BDI)</t>
  </si>
  <si>
    <t>Fórmula utilizada no Acórdão TCU 2622/2013</t>
  </si>
  <si>
    <t>BDI = (((1+AC+S+R+G)*(1+DF)*(1+L)) / (1-I)) -1</t>
  </si>
  <si>
    <t>onde:</t>
  </si>
  <si>
    <t>AC = Taxa de Administração Central</t>
  </si>
  <si>
    <t>S = Taxa de Seguros</t>
  </si>
  <si>
    <t>R = Taxa de Riscos</t>
  </si>
  <si>
    <t>G = Taxa de Garantias (incluída no seguro)</t>
  </si>
  <si>
    <t>DF = Taxa de Despesas Financeiras</t>
  </si>
  <si>
    <t>L = Taxa de Lucro/Remuneração</t>
  </si>
  <si>
    <t>I = Taxa de Incidência de Impostos (PIS, COFINS, ISS e CPRB)</t>
  </si>
  <si>
    <t>ESTIMATIVA DE COMPOSIÇÃO DA TAXA DE BDI PARA OBRAS E SERVIÇOS</t>
  </si>
  <si>
    <t>AC</t>
  </si>
  <si>
    <t>AC = TAXA DE ADMINISTRAÇÃO CENTRAL</t>
  </si>
  <si>
    <t>DF</t>
  </si>
  <si>
    <t>DF = TAXA DE DESPESAS FINANCEIRAS</t>
  </si>
  <si>
    <t>S+G</t>
  </si>
  <si>
    <t>S+G = TAXA DE SEGUROS + GARANTIAS</t>
  </si>
  <si>
    <t>R</t>
  </si>
  <si>
    <t>R = TAXA DE RISCOS</t>
  </si>
  <si>
    <t>L</t>
  </si>
  <si>
    <t>L = TAXA DE LUCRO/REMUNERAÇÃO</t>
  </si>
  <si>
    <t>PIS</t>
  </si>
  <si>
    <t>COFINS</t>
  </si>
  <si>
    <t>CPRB</t>
  </si>
  <si>
    <t>BDI CALCULADO</t>
  </si>
  <si>
    <t>BDI ADOTADO</t>
  </si>
  <si>
    <t>ESTIMATIVA DE COMPOSIÇÃO DA TAXA DE BDI PARA EQUIPAMENTOS</t>
  </si>
  <si>
    <t>ANEXO I – B5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</si>
</sst>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&quot; R$ &quot;* #,##0.00\ ;&quot;-R$ &quot;* #,##0.00\ ;&quot; R$ &quot;* \-#\ ;@\ "/>
    <numFmt numFmtId="165" formatCode="[$R$-416]\ #,##0.00;[Red]\-[$R$-416]\ #,##0.00"/>
    <numFmt numFmtId="166" formatCode="0.0000%"/>
    <numFmt numFmtId="167" formatCode="#,##0.00\ ;[Red]\(#,##0.00\)"/>
    <numFmt numFmtId="168" formatCode="#,##0.0"/>
    <numFmt numFmtId="169" formatCode="mm/yy"/>
    <numFmt numFmtId="170" formatCode="&quot;R$ &quot;#,##0.00"/>
    <numFmt numFmtId="171" formatCode="d/m/yyyy"/>
    <numFmt numFmtId="172" formatCode="&quot;R$ &quot;#,##0.00;[Red]&quot;-R$ &quot;#,##0.00"/>
    <numFmt numFmtId="173" formatCode="&quot;R$&quot;\ #,##0.00"/>
    <numFmt numFmtId="174" formatCode="#,##0;[Red]\(#,##0\)"/>
  </numFmts>
  <fonts count="32">
    <font>
      <sz val="11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8000"/>
      <name val="Calibri"/>
      <family val="2"/>
      <charset val="1"/>
    </font>
    <font>
      <b/>
      <sz val="8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i/>
      <sz val="10"/>
      <name val="Arial"/>
      <family val="2"/>
      <charset val="1"/>
    </font>
    <font>
      <b/>
      <sz val="11"/>
      <name val="Arial"/>
      <family val="2"/>
      <charset val="1"/>
    </font>
    <font>
      <sz val="10"/>
      <color rgb="FF000000"/>
      <name val="Times New Roman"/>
      <family val="1"/>
      <charset val="1"/>
    </font>
    <font>
      <b/>
      <sz val="11"/>
      <name val="Arial"/>
      <family val="1"/>
      <charset val="1"/>
    </font>
    <font>
      <b/>
      <sz val="10"/>
      <name val="Arial"/>
      <family val="1"/>
      <charset val="1"/>
    </font>
    <font>
      <sz val="10"/>
      <name val="Arial"/>
      <family val="1"/>
      <charset val="1"/>
    </font>
    <font>
      <b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vertAlign val="subscript"/>
      <sz val="10"/>
      <name val="Arial"/>
      <family val="2"/>
      <charset val="1"/>
    </font>
    <font>
      <sz val="10"/>
      <color rgb="FF000000"/>
      <name val="Arial;Arial"/>
      <family val="2"/>
      <charset val="1"/>
    </font>
    <font>
      <sz val="11"/>
      <name val="Arial"/>
      <family val="2"/>
      <charset val="1"/>
    </font>
    <font>
      <sz val="10"/>
      <name val="Times New Roman"/>
      <family val="1"/>
      <charset val="1"/>
    </font>
    <font>
      <sz val="12"/>
      <color rgb="FF000000"/>
      <name val="Arial"/>
      <family val="2"/>
      <charset val="1"/>
    </font>
    <font>
      <b/>
      <sz val="13"/>
      <name val="Arial"/>
      <family val="2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"/>
      <family val="2"/>
    </font>
    <font>
      <sz val="12"/>
      <name val="Arial"/>
      <family val="2"/>
      <charset val="1"/>
    </font>
    <font>
      <sz val="10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2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CCFFCC"/>
        <bgColor rgb="FFEDEDED"/>
      </patternFill>
    </fill>
    <fill>
      <patternFill patternType="solid">
        <fgColor rgb="FFD9D9D9"/>
        <bgColor rgb="FFDCDADA"/>
      </patternFill>
    </fill>
    <fill>
      <patternFill patternType="solid">
        <fgColor rgb="FFEDEDED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rgb="FFCCCCCC"/>
        <bgColor rgb="FFD9D9D9"/>
      </patternFill>
    </fill>
    <fill>
      <patternFill patternType="solid">
        <fgColor rgb="FFFFFFFF"/>
        <bgColor rgb="FFF2F2F2"/>
      </patternFill>
    </fill>
    <fill>
      <patternFill patternType="solid">
        <fgColor theme="2" tint="-4.9989318521683403E-2"/>
        <bgColor rgb="FFD9D9D9"/>
      </patternFill>
    </fill>
    <fill>
      <patternFill patternType="solid">
        <fgColor rgb="FFF2F2F2"/>
        <bgColor rgb="FFEEEEEE"/>
      </patternFill>
    </fill>
    <fill>
      <patternFill patternType="solid">
        <fgColor rgb="FFFFFFFF"/>
        <bgColor rgb="FFEEEEEE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164" fontId="24" fillId="0" borderId="0" applyBorder="0" applyProtection="0"/>
    <xf numFmtId="9" fontId="2" fillId="0" borderId="0" applyBorder="0" applyProtection="0"/>
    <xf numFmtId="164" fontId="24" fillId="0" borderId="0" applyBorder="0" applyProtection="0"/>
    <xf numFmtId="0" fontId="1" fillId="0" borderId="0"/>
    <xf numFmtId="0" fontId="24" fillId="0" borderId="0"/>
    <xf numFmtId="0" fontId="2" fillId="0" borderId="0"/>
    <xf numFmtId="9" fontId="1" fillId="0" borderId="0" applyBorder="0" applyProtection="0"/>
    <xf numFmtId="0" fontId="3" fillId="2" borderId="0"/>
    <xf numFmtId="0" fontId="3" fillId="2" borderId="0"/>
  </cellStyleXfs>
  <cellXfs count="253">
    <xf numFmtId="0" fontId="0" fillId="0" borderId="0" xfId="0"/>
    <xf numFmtId="2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Alignment="1">
      <alignment vertical="center" wrapText="1"/>
    </xf>
    <xf numFmtId="165" fontId="0" fillId="0" borderId="0" xfId="0" applyNumberForma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/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165" fontId="9" fillId="5" borderId="1" xfId="0" applyNumberFormat="1" applyFont="1" applyFill="1" applyBorder="1" applyAlignment="1">
      <alignment horizontal="center" vertical="center" wrapText="1"/>
    </xf>
    <xf numFmtId="166" fontId="9" fillId="5" borderId="1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10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2" fontId="7" fillId="0" borderId="0" xfId="0" applyNumberFormat="1" applyFont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2" fontId="8" fillId="0" borderId="1" xfId="0" applyNumberFormat="1" applyFont="1" applyBorder="1" applyAlignment="1">
      <alignment horizontal="center" vertical="center" wrapText="1"/>
    </xf>
    <xf numFmtId="2" fontId="8" fillId="0" borderId="0" xfId="0" applyNumberFormat="1" applyFont="1" applyAlignment="1">
      <alignment vertical="center" wrapText="1"/>
    </xf>
    <xf numFmtId="2" fontId="9" fillId="0" borderId="0" xfId="0" applyNumberFormat="1" applyFont="1" applyAlignment="1">
      <alignment vertical="center"/>
    </xf>
    <xf numFmtId="167" fontId="7" fillId="0" borderId="1" xfId="0" applyNumberFormat="1" applyFont="1" applyBorder="1" applyAlignment="1">
      <alignment horizontal="left" vertical="center" wrapText="1"/>
    </xf>
    <xf numFmtId="167" fontId="7" fillId="0" borderId="1" xfId="0" applyNumberFormat="1" applyFont="1" applyBorder="1" applyAlignment="1">
      <alignment horizontal="right" vertical="center" wrapText="1"/>
    </xf>
    <xf numFmtId="167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right" vertical="center" wrapText="1"/>
    </xf>
    <xf numFmtId="167" fontId="7" fillId="0" borderId="0" xfId="0" applyNumberFormat="1" applyFont="1" applyAlignment="1">
      <alignment vertical="center" wrapText="1"/>
    </xf>
    <xf numFmtId="10" fontId="7" fillId="0" borderId="1" xfId="0" applyNumberFormat="1" applyFont="1" applyBorder="1" applyAlignment="1">
      <alignment horizontal="center" vertical="center"/>
    </xf>
    <xf numFmtId="2" fontId="7" fillId="0" borderId="0" xfId="0" applyNumberFormat="1" applyFont="1" applyAlignment="1">
      <alignment vertical="center"/>
    </xf>
    <xf numFmtId="2" fontId="7" fillId="0" borderId="1" xfId="0" applyNumberFormat="1" applyFont="1" applyBorder="1" applyAlignment="1">
      <alignment vertical="center"/>
    </xf>
    <xf numFmtId="165" fontId="7" fillId="0" borderId="0" xfId="0" applyNumberFormat="1" applyFont="1" applyAlignment="1">
      <alignment horizontal="center" vertical="center"/>
    </xf>
    <xf numFmtId="2" fontId="8" fillId="4" borderId="1" xfId="0" applyNumberFormat="1" applyFont="1" applyFill="1" applyBorder="1" applyAlignment="1">
      <alignment vertical="center"/>
    </xf>
    <xf numFmtId="0" fontId="7" fillId="0" borderId="1" xfId="5" applyFont="1" applyBorder="1" applyAlignment="1">
      <alignment horizontal="left" vertical="center" wrapText="1"/>
    </xf>
    <xf numFmtId="0" fontId="8" fillId="4" borderId="5" xfId="0" applyFont="1" applyFill="1" applyBorder="1" applyAlignment="1">
      <alignment vertical="center" wrapText="1"/>
    </xf>
    <xf numFmtId="167" fontId="8" fillId="4" borderId="1" xfId="0" applyNumberFormat="1" applyFont="1" applyFill="1" applyBorder="1" applyAlignment="1">
      <alignment horizontal="right" vertical="center" wrapText="1"/>
    </xf>
    <xf numFmtId="167" fontId="8" fillId="4" borderId="1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right" vertical="center" wrapText="1"/>
    </xf>
    <xf numFmtId="167" fontId="8" fillId="0" borderId="0" xfId="0" applyNumberFormat="1" applyFont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2" fontId="7" fillId="0" borderId="0" xfId="0" applyNumberFormat="1" applyFont="1" applyAlignment="1">
      <alignment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/>
    </xf>
    <xf numFmtId="168" fontId="7" fillId="0" borderId="1" xfId="5" applyNumberFormat="1" applyFont="1" applyBorder="1" applyAlignment="1">
      <alignment horizontal="center" vertical="center"/>
    </xf>
    <xf numFmtId="168" fontId="8" fillId="0" borderId="1" xfId="5" applyNumberFormat="1" applyFont="1" applyBorder="1" applyAlignment="1">
      <alignment horizontal="center" vertical="center"/>
    </xf>
    <xf numFmtId="3" fontId="8" fillId="0" borderId="1" xfId="5" applyNumberFormat="1" applyFont="1" applyBorder="1" applyAlignment="1">
      <alignment horizontal="center" vertical="center"/>
    </xf>
    <xf numFmtId="4" fontId="8" fillId="0" borderId="1" xfId="5" applyNumberFormat="1" applyFont="1" applyBorder="1" applyAlignment="1">
      <alignment horizontal="center" vertical="center"/>
    </xf>
    <xf numFmtId="164" fontId="8" fillId="0" borderId="1" xfId="3" applyFont="1" applyBorder="1" applyAlignment="1" applyProtection="1">
      <alignment horizontal="center" vertical="center"/>
    </xf>
    <xf numFmtId="4" fontId="8" fillId="0" borderId="2" xfId="5" applyNumberFormat="1" applyFont="1" applyBorder="1" applyAlignment="1">
      <alignment horizontal="center" vertical="center"/>
    </xf>
    <xf numFmtId="168" fontId="8" fillId="4" borderId="1" xfId="0" applyNumberFormat="1" applyFont="1" applyFill="1" applyBorder="1" applyAlignment="1">
      <alignment horizontal="center" vertical="center"/>
    </xf>
    <xf numFmtId="3" fontId="8" fillId="4" borderId="1" xfId="0" applyNumberFormat="1" applyFont="1" applyFill="1" applyBorder="1" applyAlignment="1">
      <alignment horizontal="center" vertical="center"/>
    </xf>
    <xf numFmtId="4" fontId="8" fillId="4" borderId="5" xfId="0" applyNumberFormat="1" applyFont="1" applyFill="1" applyBorder="1" applyAlignment="1">
      <alignment horizontal="center" vertical="center"/>
    </xf>
    <xf numFmtId="164" fontId="8" fillId="4" borderId="1" xfId="1" applyFont="1" applyFill="1" applyBorder="1" applyAlignment="1" applyProtection="1">
      <alignment horizontal="center" vertical="center"/>
    </xf>
    <xf numFmtId="1" fontId="8" fillId="4" borderId="1" xfId="1" applyNumberFormat="1" applyFont="1" applyFill="1" applyBorder="1" applyAlignment="1" applyProtection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65" fontId="7" fillId="0" borderId="1" xfId="0" applyNumberFormat="1" applyFont="1" applyBorder="1" applyAlignment="1">
      <alignment vertical="center"/>
    </xf>
    <xf numFmtId="165" fontId="7" fillId="0" borderId="0" xfId="0" applyNumberFormat="1" applyFont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165" fontId="7" fillId="0" borderId="2" xfId="0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165" fontId="9" fillId="0" borderId="1" xfId="0" applyNumberFormat="1" applyFont="1" applyBorder="1" applyAlignment="1">
      <alignment vertical="center"/>
    </xf>
    <xf numFmtId="165" fontId="7" fillId="0" borderId="0" xfId="0" applyNumberFormat="1" applyFont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5" fontId="8" fillId="0" borderId="0" xfId="0" applyNumberFormat="1" applyFont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14" fillId="7" borderId="0" xfId="8" applyFont="1" applyFill="1" applyAlignment="1">
      <alignment horizontal="left" vertical="top" wrapText="1"/>
    </xf>
    <xf numFmtId="165" fontId="15" fillId="7" borderId="0" xfId="8" applyNumberFormat="1" applyFont="1" applyFill="1" applyAlignment="1">
      <alignment horizontal="left" vertical="top" wrapText="1"/>
    </xf>
    <xf numFmtId="0" fontId="13" fillId="7" borderId="1" xfId="8" applyFont="1" applyFill="1" applyBorder="1" applyAlignment="1">
      <alignment horizontal="center" vertical="center" wrapText="1"/>
    </xf>
    <xf numFmtId="0" fontId="17" fillId="7" borderId="1" xfId="8" applyFont="1" applyFill="1" applyBorder="1" applyAlignment="1">
      <alignment horizontal="center" vertical="center" wrapText="1"/>
    </xf>
    <xf numFmtId="0" fontId="17" fillId="7" borderId="1" xfId="8" applyFont="1" applyFill="1" applyBorder="1" applyAlignment="1">
      <alignment horizontal="left" vertical="center" wrapText="1"/>
    </xf>
    <xf numFmtId="2" fontId="17" fillId="7" borderId="1" xfId="8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6" applyAlignment="1">
      <alignment vertical="center"/>
    </xf>
    <xf numFmtId="0" fontId="9" fillId="8" borderId="1" xfId="6" applyFont="1" applyFill="1" applyBorder="1" applyAlignment="1">
      <alignment horizontal="center" vertical="center" wrapText="1"/>
    </xf>
    <xf numFmtId="0" fontId="2" fillId="0" borderId="1" xfId="6" applyBorder="1" applyAlignment="1">
      <alignment vertical="center"/>
    </xf>
    <xf numFmtId="171" fontId="2" fillId="7" borderId="1" xfId="6" applyNumberFormat="1" applyFill="1" applyBorder="1" applyAlignment="1">
      <alignment horizontal="center" vertical="center" wrapText="1"/>
    </xf>
    <xf numFmtId="165" fontId="2" fillId="7" borderId="1" xfId="6" applyNumberFormat="1" applyFill="1" applyBorder="1" applyAlignment="1">
      <alignment horizontal="center" vertical="center" wrapText="1"/>
    </xf>
    <xf numFmtId="0" fontId="2" fillId="3" borderId="1" xfId="6" applyFill="1" applyBorder="1" applyAlignment="1">
      <alignment vertical="center"/>
    </xf>
    <xf numFmtId="165" fontId="2" fillId="3" borderId="1" xfId="6" applyNumberFormat="1" applyFill="1" applyBorder="1" applyAlignment="1">
      <alignment horizontal="center" vertical="center" wrapText="1"/>
    </xf>
    <xf numFmtId="0" fontId="9" fillId="0" borderId="1" xfId="6" applyFont="1" applyBorder="1" applyAlignment="1">
      <alignment vertical="center" wrapText="1"/>
    </xf>
    <xf numFmtId="0" fontId="2" fillId="0" borderId="1" xfId="6" applyBorder="1" applyAlignment="1">
      <alignment vertical="center" wrapText="1"/>
    </xf>
    <xf numFmtId="10" fontId="2" fillId="0" borderId="1" xfId="6" applyNumberFormat="1" applyBorder="1" applyAlignment="1">
      <alignment vertical="center"/>
    </xf>
    <xf numFmtId="0" fontId="9" fillId="0" borderId="1" xfId="6" applyFont="1" applyBorder="1" applyAlignment="1">
      <alignment vertical="center"/>
    </xf>
    <xf numFmtId="165" fontId="2" fillId="0" borderId="1" xfId="6" applyNumberFormat="1" applyBorder="1" applyAlignment="1">
      <alignment vertical="center"/>
    </xf>
    <xf numFmtId="165" fontId="9" fillId="8" borderId="1" xfId="6" applyNumberFormat="1" applyFont="1" applyFill="1" applyBorder="1" applyAlignment="1">
      <alignment vertical="center"/>
    </xf>
    <xf numFmtId="0" fontId="7" fillId="0" borderId="0" xfId="0" applyFont="1" applyAlignment="1">
      <alignment horizontal="left" wrapText="1"/>
    </xf>
    <xf numFmtId="170" fontId="17" fillId="7" borderId="1" xfId="8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9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3" borderId="1" xfId="0" applyFill="1" applyBorder="1" applyAlignment="1">
      <alignment vertical="center"/>
    </xf>
    <xf numFmtId="165" fontId="0" fillId="3" borderId="1" xfId="0" applyNumberForma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0" fontId="0" fillId="0" borderId="1" xfId="0" applyNumberFormat="1" applyBorder="1"/>
    <xf numFmtId="0" fontId="9" fillId="0" borderId="1" xfId="0" applyFont="1" applyBorder="1" applyAlignment="1">
      <alignment vertical="center"/>
    </xf>
    <xf numFmtId="165" fontId="0" fillId="0" borderId="1" xfId="0" applyNumberFormat="1" applyBorder="1" applyAlignment="1">
      <alignment vertical="center"/>
    </xf>
    <xf numFmtId="0" fontId="2" fillId="0" borderId="1" xfId="0" applyFont="1" applyBorder="1" applyAlignment="1">
      <alignment vertical="center"/>
    </xf>
    <xf numFmtId="165" fontId="9" fillId="9" borderId="1" xfId="0" applyNumberFormat="1" applyFont="1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12" fillId="0" borderId="0" xfId="0" applyFont="1" applyAlignment="1">
      <alignment wrapText="1"/>
    </xf>
    <xf numFmtId="0" fontId="20" fillId="0" borderId="0" xfId="0" applyFont="1"/>
    <xf numFmtId="0" fontId="15" fillId="7" borderId="1" xfId="8" applyFont="1" applyFill="1" applyBorder="1" applyAlignment="1">
      <alignment horizontal="center" vertical="center" wrapText="1"/>
    </xf>
    <xf numFmtId="2" fontId="15" fillId="7" borderId="1" xfId="8" applyNumberFormat="1" applyFont="1" applyFill="1" applyBorder="1" applyAlignment="1">
      <alignment horizontal="center" vertical="center" wrapText="1"/>
    </xf>
    <xf numFmtId="170" fontId="15" fillId="7" borderId="1" xfId="8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22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8" applyFont="1" applyFill="1" applyBorder="1" applyAlignment="1">
      <alignment vertical="center" wrapText="1"/>
    </xf>
    <xf numFmtId="10" fontId="2" fillId="0" borderId="1" xfId="2" applyNumberForma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vertical="center" wrapText="1"/>
    </xf>
    <xf numFmtId="0" fontId="0" fillId="0" borderId="8" xfId="0" applyBorder="1"/>
    <xf numFmtId="0" fontId="9" fillId="0" borderId="6" xfId="0" applyFont="1" applyBorder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10" fontId="8" fillId="4" borderId="7" xfId="0" applyNumberFormat="1" applyFont="1" applyFill="1" applyBorder="1" applyAlignment="1">
      <alignment horizontal="center" vertical="top" wrapText="1"/>
    </xf>
    <xf numFmtId="10" fontId="8" fillId="4" borderId="4" xfId="0" applyNumberFormat="1" applyFont="1" applyFill="1" applyBorder="1" applyAlignment="1">
      <alignment horizontal="center" vertical="top" wrapText="1"/>
    </xf>
    <xf numFmtId="10" fontId="8" fillId="4" borderId="1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0" fontId="7" fillId="0" borderId="4" xfId="0" applyNumberFormat="1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0" fontId="8" fillId="4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7" fontId="25" fillId="0" borderId="1" xfId="0" applyNumberFormat="1" applyFont="1" applyBorder="1" applyAlignment="1">
      <alignment horizontal="left" vertical="center" wrapText="1"/>
    </xf>
    <xf numFmtId="0" fontId="25" fillId="0" borderId="1" xfId="5" applyFont="1" applyBorder="1" applyAlignment="1">
      <alignment horizontal="left" vertical="center" wrapText="1"/>
    </xf>
    <xf numFmtId="3" fontId="7" fillId="0" borderId="1" xfId="5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173" fontId="17" fillId="7" borderId="1" xfId="8" applyNumberFormat="1" applyFont="1" applyFill="1" applyBorder="1" applyAlignment="1">
      <alignment horizontal="center" vertical="center" wrapText="1"/>
    </xf>
    <xf numFmtId="173" fontId="15" fillId="7" borderId="1" xfId="8" applyNumberFormat="1" applyFont="1" applyFill="1" applyBorder="1" applyAlignment="1">
      <alignment horizontal="center" vertical="center" wrapText="1"/>
    </xf>
    <xf numFmtId="173" fontId="17" fillId="0" borderId="1" xfId="8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172" fontId="2" fillId="7" borderId="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2" fontId="8" fillId="4" borderId="1" xfId="1" applyNumberFormat="1" applyFont="1" applyFill="1" applyBorder="1" applyAlignment="1" applyProtection="1">
      <alignment horizontal="center" vertical="center"/>
    </xf>
    <xf numFmtId="0" fontId="2" fillId="10" borderId="1" xfId="8" applyFont="1" applyFill="1" applyBorder="1" applyAlignment="1">
      <alignment vertical="center" wrapText="1"/>
    </xf>
    <xf numFmtId="168" fontId="8" fillId="0" borderId="2" xfId="5" applyNumberFormat="1" applyFont="1" applyBorder="1" applyAlignment="1">
      <alignment horizontal="center" vertical="center"/>
    </xf>
    <xf numFmtId="164" fontId="8" fillId="0" borderId="2" xfId="3" applyFont="1" applyBorder="1" applyAlignment="1" applyProtection="1">
      <alignment horizontal="center" vertical="center"/>
    </xf>
    <xf numFmtId="174" fontId="7" fillId="0" borderId="1" xfId="0" applyNumberFormat="1" applyFont="1" applyBorder="1" applyAlignment="1">
      <alignment horizontal="center" vertical="center" wrapText="1"/>
    </xf>
    <xf numFmtId="4" fontId="8" fillId="0" borderId="5" xfId="5" applyNumberFormat="1" applyFont="1" applyBorder="1" applyAlignment="1">
      <alignment horizontal="center" vertical="center"/>
    </xf>
    <xf numFmtId="173" fontId="8" fillId="5" borderId="1" xfId="0" applyNumberFormat="1" applyFont="1" applyFill="1" applyBorder="1" applyAlignment="1">
      <alignment horizontal="center" vertical="center" wrapText="1"/>
    </xf>
    <xf numFmtId="14" fontId="2" fillId="7" borderId="1" xfId="6" applyNumberFormat="1" applyFill="1" applyBorder="1" applyAlignment="1">
      <alignment horizontal="center" vertical="center" wrapText="1"/>
    </xf>
    <xf numFmtId="0" fontId="27" fillId="0" borderId="1" xfId="8" applyFont="1" applyFill="1" applyBorder="1" applyAlignment="1">
      <alignment horizontal="center" vertical="center" wrapText="1"/>
    </xf>
    <xf numFmtId="173" fontId="27" fillId="0" borderId="1" xfId="8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center" vertical="center"/>
    </xf>
    <xf numFmtId="167" fontId="8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 wrapText="1"/>
    </xf>
    <xf numFmtId="2" fontId="9" fillId="4" borderId="2" xfId="0" applyNumberFormat="1" applyFont="1" applyFill="1" applyBorder="1" applyAlignment="1">
      <alignment horizontal="center" vertical="center" wrapText="1"/>
    </xf>
    <xf numFmtId="2" fontId="9" fillId="4" borderId="4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165" fontId="7" fillId="0" borderId="1" xfId="5" applyNumberFormat="1" applyFont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/>
    </xf>
    <xf numFmtId="168" fontId="8" fillId="0" borderId="1" xfId="5" applyNumberFormat="1" applyFont="1" applyBorder="1" applyAlignment="1">
      <alignment horizontal="center" vertical="center"/>
    </xf>
    <xf numFmtId="168" fontId="7" fillId="0" borderId="1" xfId="5" applyNumberFormat="1" applyFont="1" applyBorder="1" applyAlignment="1">
      <alignment horizontal="center" vertical="center"/>
    </xf>
    <xf numFmtId="3" fontId="8" fillId="0" borderId="1" xfId="5" applyNumberFormat="1" applyFont="1" applyBorder="1" applyAlignment="1">
      <alignment horizontal="center" vertical="center"/>
    </xf>
    <xf numFmtId="4" fontId="8" fillId="0" borderId="1" xfId="5" applyNumberFormat="1" applyFont="1" applyBorder="1" applyAlignment="1">
      <alignment horizontal="center" vertical="center"/>
    </xf>
    <xf numFmtId="0" fontId="7" fillId="0" borderId="1" xfId="5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164" fontId="8" fillId="0" borderId="1" xfId="3" applyFont="1" applyBorder="1" applyAlignment="1" applyProtection="1">
      <alignment horizontal="center" vertical="center"/>
    </xf>
    <xf numFmtId="3" fontId="7" fillId="0" borderId="1" xfId="5" applyNumberFormat="1" applyFont="1" applyBorder="1" applyAlignment="1">
      <alignment horizontal="center" vertical="center"/>
    </xf>
    <xf numFmtId="0" fontId="14" fillId="7" borderId="1" xfId="8" applyFont="1" applyFill="1" applyBorder="1" applyAlignment="1">
      <alignment horizontal="left" vertical="center" wrapText="1"/>
    </xf>
    <xf numFmtId="170" fontId="16" fillId="0" borderId="1" xfId="8" applyNumberFormat="1" applyFont="1" applyFill="1" applyBorder="1" applyAlignment="1">
      <alignment horizontal="left" vertical="center" wrapText="1"/>
    </xf>
    <xf numFmtId="0" fontId="15" fillId="7" borderId="1" xfId="8" applyFont="1" applyFill="1" applyBorder="1" applyAlignment="1">
      <alignment horizontal="left" vertical="center" wrapText="1"/>
    </xf>
    <xf numFmtId="0" fontId="15" fillId="0" borderId="1" xfId="8" applyFont="1" applyFill="1" applyBorder="1" applyAlignment="1">
      <alignment horizontal="left" vertical="center" wrapText="1"/>
    </xf>
    <xf numFmtId="169" fontId="15" fillId="7" borderId="1" xfId="8" applyNumberFormat="1" applyFont="1" applyFill="1" applyBorder="1" applyAlignment="1">
      <alignment horizontal="left" vertical="center" wrapText="1"/>
    </xf>
    <xf numFmtId="165" fontId="16" fillId="0" borderId="1" xfId="8" applyNumberFormat="1" applyFont="1" applyFill="1" applyBorder="1" applyAlignment="1">
      <alignment horizontal="left" vertical="center"/>
    </xf>
    <xf numFmtId="0" fontId="13" fillId="3" borderId="1" xfId="8" applyFont="1" applyFill="1" applyBorder="1" applyAlignment="1">
      <alignment horizontal="center" vertical="center" wrapText="1"/>
    </xf>
    <xf numFmtId="49" fontId="15" fillId="7" borderId="1" xfId="8" applyNumberFormat="1" applyFont="1" applyFill="1" applyBorder="1" applyAlignment="1">
      <alignment horizontal="left" vertical="center" wrapText="1"/>
    </xf>
    <xf numFmtId="0" fontId="13" fillId="3" borderId="2" xfId="8" applyFont="1" applyFill="1" applyBorder="1" applyAlignment="1">
      <alignment horizontal="center" vertical="center" wrapText="1"/>
    </xf>
    <xf numFmtId="0" fontId="27" fillId="0" borderId="0" xfId="6" applyFont="1" applyAlignment="1">
      <alignment horizontal="left" vertical="center" wrapText="1"/>
    </xf>
    <xf numFmtId="0" fontId="2" fillId="0" borderId="0" xfId="6" applyAlignment="1">
      <alignment horizontal="left" vertical="center" wrapText="1"/>
    </xf>
    <xf numFmtId="0" fontId="15" fillId="7" borderId="1" xfId="8" applyFont="1" applyFill="1" applyBorder="1" applyAlignment="1">
      <alignment horizontal="left" vertical="top" wrapText="1"/>
    </xf>
    <xf numFmtId="0" fontId="14" fillId="7" borderId="1" xfId="8" applyFont="1" applyFill="1" applyBorder="1" applyAlignment="1">
      <alignment horizontal="left" vertical="top" wrapText="1"/>
    </xf>
    <xf numFmtId="0" fontId="27" fillId="0" borderId="1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165" fontId="16" fillId="7" borderId="1" xfId="8" applyNumberFormat="1" applyFont="1" applyFill="1" applyBorder="1" applyAlignment="1">
      <alignment horizontal="left" vertical="center"/>
    </xf>
    <xf numFmtId="49" fontId="15" fillId="7" borderId="1" xfId="8" applyNumberFormat="1" applyFont="1" applyFill="1" applyBorder="1" applyAlignment="1">
      <alignment horizontal="left" vertical="top" wrapText="1"/>
    </xf>
    <xf numFmtId="0" fontId="20" fillId="0" borderId="0" xfId="0" applyFont="1" applyAlignment="1">
      <alignment horizontal="left" vertical="center" wrapText="1"/>
    </xf>
    <xf numFmtId="49" fontId="29" fillId="0" borderId="0" xfId="0" applyNumberFormat="1" applyFont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31" fillId="0" borderId="1" xfId="0" applyFont="1" applyBorder="1" applyAlignment="1">
      <alignment horizontal="center" vertical="center" wrapText="1"/>
    </xf>
  </cellXfs>
  <cellStyles count="10">
    <cellStyle name="Moeda" xfId="1" builtinId="4"/>
    <cellStyle name="Moeda 2" xfId="3" xr:uid="{00000000-0005-0000-0000-000006000000}"/>
    <cellStyle name="Normal" xfId="0" builtinId="0"/>
    <cellStyle name="Normal 2" xfId="4" xr:uid="{00000000-0005-0000-0000-000007000000}"/>
    <cellStyle name="Normal 3" xfId="5" xr:uid="{00000000-0005-0000-0000-000008000000}"/>
    <cellStyle name="Normal 4" xfId="6" xr:uid="{00000000-0005-0000-0000-000009000000}"/>
    <cellStyle name="Porcentagem" xfId="2" builtinId="5"/>
    <cellStyle name="Porcentagem 2" xfId="7" xr:uid="{00000000-0005-0000-0000-00000A000000}"/>
    <cellStyle name="TableStyleLight1" xfId="8" xr:uid="{00000000-0005-0000-0000-00000B000000}"/>
    <cellStyle name="TableStyleLight1 2" xfId="9" xr:uid="{00000000-0005-0000-0000-00000C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2F2F2"/>
      <rgbColor rgb="FFEEEEEE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DEDED"/>
      <rgbColor rgb="FFCCFFCC"/>
      <rgbColor rgb="FFFFFF99"/>
      <rgbColor rgb="FF99CCFF"/>
      <rgbColor rgb="FFFF99CC"/>
      <rgbColor rgb="FFCC99FF"/>
      <rgbColor rgb="FFDCDADA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1579320</xdr:colOff>
      <xdr:row>1</xdr:row>
      <xdr:rowOff>97920</xdr:rowOff>
    </xdr:from>
    <xdr:to>
      <xdr:col>5</xdr:col>
      <xdr:colOff>47520</xdr:colOff>
      <xdr:row>1</xdr:row>
      <xdr:rowOff>1177200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441160" y="288360"/>
          <a:ext cx="2641320" cy="10792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</xdr:col>
      <xdr:colOff>2095560</xdr:colOff>
      <xdr:row>1</xdr:row>
      <xdr:rowOff>207720</xdr:rowOff>
    </xdr:from>
    <xdr:to>
      <xdr:col>4</xdr:col>
      <xdr:colOff>381600</xdr:colOff>
      <xdr:row>1</xdr:row>
      <xdr:rowOff>1148400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957400" y="398160"/>
          <a:ext cx="2023560" cy="9406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87840</xdr:colOff>
      <xdr:row>25</xdr:row>
      <xdr:rowOff>120600</xdr:rowOff>
    </xdr:from>
    <xdr:to>
      <xdr:col>2</xdr:col>
      <xdr:colOff>2299680</xdr:colOff>
      <xdr:row>29</xdr:row>
      <xdr:rowOff>87841</xdr:rowOff>
    </xdr:to>
    <xdr:pic>
      <xdr:nvPicPr>
        <xdr:cNvPr id="3" name="Figura 7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/>
      </xdr:nvPicPr>
      <xdr:blipFill>
        <a:blip xmlns:r="http://schemas.openxmlformats.org/officeDocument/2006/relationships" r:embed="rId1"/>
        <a:srcRect l="17768" t="51115" r="20992" b="38316"/>
        <a:stretch/>
      </xdr:blipFill>
      <xdr:spPr>
        <a:xfrm>
          <a:off x="495000" y="6730920"/>
          <a:ext cx="6453360" cy="6912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FF"/>
  </sheetPr>
  <dimension ref="B1:IT65541"/>
  <sheetViews>
    <sheetView showGridLines="0" tabSelected="1" zoomScaleNormal="100" workbookViewId="0">
      <selection activeCell="K5" sqref="K5"/>
    </sheetView>
  </sheetViews>
  <sheetFormatPr defaultColWidth="10.5" defaultRowHeight="14.25"/>
  <cols>
    <col min="1" max="1" width="5.625" customWidth="1"/>
    <col min="2" max="2" width="5.5" style="3" customWidth="1"/>
    <col min="3" max="3" width="42.125" style="3" customWidth="1"/>
    <col min="4" max="4" width="6.125" style="3" customWidth="1"/>
    <col min="5" max="5" width="5.625" style="3" customWidth="1"/>
    <col min="6" max="6" width="15.25" style="3" customWidth="1"/>
    <col min="7" max="7" width="20" style="3" customWidth="1"/>
    <col min="8" max="254" width="10.625" style="3" customWidth="1"/>
  </cols>
  <sheetData>
    <row r="1" spans="2:7" ht="15" customHeight="1"/>
    <row r="2" spans="2:7" ht="103.5" customHeight="1">
      <c r="B2" s="187"/>
      <c r="C2" s="187"/>
      <c r="D2" s="187"/>
      <c r="E2" s="187"/>
      <c r="F2" s="187"/>
      <c r="G2" s="187"/>
    </row>
    <row r="3" spans="2:7" ht="18" customHeight="1">
      <c r="B3" s="4"/>
      <c r="C3" s="4"/>
      <c r="D3" s="4"/>
      <c r="E3" s="4"/>
      <c r="F3" s="4"/>
      <c r="G3" s="4"/>
    </row>
    <row r="4" spans="2:7" ht="18" customHeight="1">
      <c r="B4" s="252" t="s">
        <v>312</v>
      </c>
      <c r="C4" s="252"/>
      <c r="D4" s="252"/>
      <c r="E4" s="252"/>
      <c r="F4" s="252"/>
      <c r="G4" s="252"/>
    </row>
    <row r="5" spans="2:7" ht="18" customHeight="1">
      <c r="B5" s="4"/>
      <c r="C5" s="4"/>
      <c r="D5" s="4"/>
      <c r="E5" s="4"/>
      <c r="F5" s="4"/>
      <c r="G5" s="4"/>
    </row>
    <row r="6" spans="2:7" ht="19.5" customHeight="1">
      <c r="B6" s="188" t="s">
        <v>0</v>
      </c>
      <c r="C6" s="188"/>
      <c r="D6" s="188"/>
      <c r="E6" s="188"/>
      <c r="F6" s="188"/>
      <c r="G6" s="188"/>
    </row>
    <row r="7" spans="2:7" ht="19.5" customHeight="1">
      <c r="B7" s="189" t="s">
        <v>1</v>
      </c>
      <c r="C7" s="189"/>
      <c r="D7" s="189"/>
      <c r="E7" s="189"/>
      <c r="F7" s="189"/>
      <c r="G7" s="189"/>
    </row>
    <row r="8" spans="2:7" ht="19.5" customHeight="1">
      <c r="B8" s="190" t="s">
        <v>2</v>
      </c>
      <c r="C8" s="190"/>
      <c r="D8" s="190"/>
      <c r="E8" s="190"/>
      <c r="F8" s="190"/>
      <c r="G8" s="190"/>
    </row>
    <row r="9" spans="2:7" ht="15.75" customHeight="1">
      <c r="B9" s="4"/>
      <c r="C9" s="4"/>
      <c r="D9" s="4"/>
      <c r="E9" s="4"/>
      <c r="F9" s="4"/>
      <c r="G9" s="4"/>
    </row>
    <row r="10" spans="2:7" ht="42" customHeight="1">
      <c r="B10" s="5" t="s">
        <v>3</v>
      </c>
      <c r="C10" s="5" t="s">
        <v>4</v>
      </c>
      <c r="D10" s="5" t="s">
        <v>5</v>
      </c>
      <c r="E10" s="5" t="s">
        <v>6</v>
      </c>
      <c r="F10" s="5" t="s">
        <v>7</v>
      </c>
      <c r="G10" s="5" t="s">
        <v>8</v>
      </c>
    </row>
    <row r="11" spans="2:7" ht="81" customHeight="1">
      <c r="B11" s="6">
        <v>1</v>
      </c>
      <c r="C11" s="7" t="s">
        <v>9</v>
      </c>
      <c r="D11" s="8" t="s">
        <v>10</v>
      </c>
      <c r="E11" s="8">
        <v>24</v>
      </c>
      <c r="F11" s="9">
        <f>ROUND(Resumo!H7,2)</f>
        <v>145999.15</v>
      </c>
      <c r="G11" s="10">
        <f>F11*E11</f>
        <v>3503979.5999999996</v>
      </c>
    </row>
    <row r="12" spans="2:7" ht="42" customHeight="1">
      <c r="B12" s="186" t="s">
        <v>11</v>
      </c>
      <c r="C12" s="186"/>
      <c r="D12" s="186"/>
      <c r="E12" s="186"/>
      <c r="F12" s="186"/>
      <c r="G12" s="186"/>
    </row>
    <row r="65541" ht="12.75" customHeight="1"/>
  </sheetData>
  <mergeCells count="6">
    <mergeCell ref="B12:G12"/>
    <mergeCell ref="B2:G2"/>
    <mergeCell ref="B4:G4"/>
    <mergeCell ref="B6:G6"/>
    <mergeCell ref="B7:G7"/>
    <mergeCell ref="B8:G8"/>
  </mergeCells>
  <printOptions horizontalCentered="1"/>
  <pageMargins left="0.78749999999999998" right="0.78749999999999998" top="0.196527777777778" bottom="0.196527777777778" header="0.511811023622047" footer="0.511811023622047"/>
  <pageSetup paperSize="9" pageOrder="overThenDown" orientation="portrait" useFirstPageNumber="1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79998168889431442"/>
  </sheetPr>
  <dimension ref="A1:I21"/>
  <sheetViews>
    <sheetView zoomScaleNormal="100" workbookViewId="0">
      <selection activeCell="L12" sqref="L12"/>
    </sheetView>
  </sheetViews>
  <sheetFormatPr defaultColWidth="8.5" defaultRowHeight="14.25"/>
  <cols>
    <col min="2" max="2" width="4.25" customWidth="1"/>
    <col min="3" max="3" width="16.25" customWidth="1"/>
    <col min="4" max="4" width="59.75" customWidth="1"/>
    <col min="5" max="5" width="11.25" customWidth="1"/>
    <col min="7" max="7" width="11.75" customWidth="1"/>
    <col min="8" max="8" width="11" customWidth="1"/>
    <col min="9" max="9" width="12.625" customWidth="1"/>
  </cols>
  <sheetData>
    <row r="1" spans="1:9" ht="14.25" customHeight="1">
      <c r="A1" s="122"/>
      <c r="B1" s="122"/>
      <c r="C1" s="122"/>
      <c r="D1" s="122"/>
      <c r="E1" s="122"/>
      <c r="F1" s="122"/>
      <c r="G1" s="122"/>
      <c r="H1" s="122"/>
      <c r="I1" s="122"/>
    </row>
    <row r="2" spans="1:9" ht="15" customHeight="1">
      <c r="B2" s="226" t="s">
        <v>192</v>
      </c>
      <c r="C2" s="226"/>
      <c r="D2" s="226"/>
      <c r="E2" s="226"/>
      <c r="F2" s="226"/>
      <c r="G2" s="226"/>
      <c r="H2" s="226"/>
      <c r="I2" s="226"/>
    </row>
    <row r="4" spans="1:9" ht="15" customHeight="1">
      <c r="B4" s="228" t="s">
        <v>193</v>
      </c>
      <c r="C4" s="228"/>
      <c r="D4" s="228"/>
      <c r="E4" s="228"/>
      <c r="F4" s="228"/>
      <c r="G4" s="228"/>
      <c r="H4" s="228"/>
      <c r="I4" s="228"/>
    </row>
    <row r="5" spans="1:9" ht="14.25" customHeight="1">
      <c r="B5" s="232" t="s">
        <v>150</v>
      </c>
      <c r="C5" s="232"/>
      <c r="D5" s="231">
        <v>91677</v>
      </c>
      <c r="E5" s="231"/>
      <c r="F5" s="231"/>
      <c r="G5" s="231"/>
      <c r="H5" s="231"/>
      <c r="I5" s="231"/>
    </row>
    <row r="6" spans="1:9" ht="14.25" customHeight="1">
      <c r="B6" s="232" t="s">
        <v>120</v>
      </c>
      <c r="C6" s="232"/>
      <c r="D6" s="231" t="s">
        <v>194</v>
      </c>
      <c r="E6" s="231"/>
      <c r="F6" s="231"/>
      <c r="G6" s="231"/>
      <c r="H6" s="231"/>
      <c r="I6" s="231"/>
    </row>
    <row r="7" spans="1:9" ht="14.25" customHeight="1">
      <c r="B7" s="232" t="s">
        <v>153</v>
      </c>
      <c r="C7" s="232"/>
      <c r="D7" s="236" t="s">
        <v>154</v>
      </c>
      <c r="E7" s="236"/>
      <c r="F7" s="236"/>
      <c r="G7" s="236"/>
      <c r="H7" s="236"/>
      <c r="I7" s="236"/>
    </row>
    <row r="8" spans="1:9" ht="14.25" customHeight="1">
      <c r="B8" s="232" t="s">
        <v>155</v>
      </c>
      <c r="C8" s="232"/>
      <c r="D8" s="231" t="s">
        <v>156</v>
      </c>
      <c r="E8" s="231"/>
      <c r="F8" s="231"/>
      <c r="G8" s="231"/>
      <c r="H8" s="231"/>
      <c r="I8" s="231"/>
    </row>
    <row r="9" spans="1:9" ht="14.25" customHeight="1">
      <c r="B9" s="232" t="s">
        <v>157</v>
      </c>
      <c r="C9" s="232"/>
      <c r="D9" s="231" t="s">
        <v>195</v>
      </c>
      <c r="E9" s="231"/>
      <c r="F9" s="231"/>
      <c r="G9" s="231"/>
      <c r="H9" s="231"/>
      <c r="I9" s="231"/>
    </row>
    <row r="10" spans="1:9" ht="14.25" customHeight="1">
      <c r="B10" s="232" t="s">
        <v>121</v>
      </c>
      <c r="C10" s="232"/>
      <c r="D10" s="231" t="s">
        <v>166</v>
      </c>
      <c r="E10" s="231"/>
      <c r="F10" s="231"/>
      <c r="G10" s="231"/>
      <c r="H10" s="231"/>
      <c r="I10" s="231"/>
    </row>
    <row r="11" spans="1:9" ht="14.25" customHeight="1">
      <c r="B11" s="220" t="s">
        <v>122</v>
      </c>
      <c r="C11" s="220"/>
      <c r="D11" s="235">
        <f>SUM(I15:I20)</f>
        <v>141.48376579570004</v>
      </c>
      <c r="E11" s="235"/>
      <c r="F11" s="235"/>
      <c r="G11" s="235"/>
      <c r="H11" s="235"/>
      <c r="I11" s="235"/>
    </row>
    <row r="12" spans="1:9">
      <c r="B12" s="102"/>
      <c r="C12" s="102"/>
      <c r="D12" s="103"/>
      <c r="E12" s="103"/>
      <c r="F12" s="103"/>
      <c r="G12" s="103"/>
      <c r="H12" s="103"/>
      <c r="I12" s="103"/>
    </row>
    <row r="13" spans="1:9">
      <c r="B13" s="102"/>
      <c r="C13" s="102"/>
      <c r="D13" s="103"/>
      <c r="E13" s="103"/>
      <c r="F13" s="103"/>
      <c r="G13" s="103"/>
      <c r="H13" s="103"/>
      <c r="I13" s="103"/>
    </row>
    <row r="14" spans="1:9" ht="60">
      <c r="B14" s="104"/>
      <c r="C14" s="104" t="s">
        <v>159</v>
      </c>
      <c r="D14" s="104" t="s">
        <v>120</v>
      </c>
      <c r="E14" s="104" t="s">
        <v>157</v>
      </c>
      <c r="F14" s="104" t="s">
        <v>121</v>
      </c>
      <c r="G14" s="104" t="s">
        <v>196</v>
      </c>
      <c r="H14" s="104" t="s">
        <v>161</v>
      </c>
      <c r="I14" s="104" t="s">
        <v>197</v>
      </c>
    </row>
    <row r="15" spans="1:9" ht="25.5">
      <c r="B15" s="183" t="s">
        <v>162</v>
      </c>
      <c r="C15" s="183" t="s">
        <v>198</v>
      </c>
      <c r="D15" s="183" t="s">
        <v>199</v>
      </c>
      <c r="E15" s="183" t="s">
        <v>200</v>
      </c>
      <c r="F15" s="183" t="s">
        <v>166</v>
      </c>
      <c r="G15" s="184">
        <f>$G$16*0.0341</f>
        <v>4.5899887957000001</v>
      </c>
      <c r="H15" s="107">
        <v>1</v>
      </c>
      <c r="I15" s="123">
        <f t="shared" ref="I15:I20" si="0">G15*H15</f>
        <v>4.5899887957000001</v>
      </c>
    </row>
    <row r="16" spans="1:9">
      <c r="B16" s="105" t="s">
        <v>201</v>
      </c>
      <c r="C16" s="105" t="s">
        <v>202</v>
      </c>
      <c r="D16" s="105" t="s">
        <v>179</v>
      </c>
      <c r="E16" s="105" t="s">
        <v>203</v>
      </c>
      <c r="F16" s="105" t="s">
        <v>166</v>
      </c>
      <c r="G16" s="169">
        <f>'Custo Eng. Eletricista'!C14</f>
        <v>134.60377700000001</v>
      </c>
      <c r="H16" s="107">
        <v>1</v>
      </c>
      <c r="I16" s="123">
        <f t="shared" si="0"/>
        <v>134.60377700000001</v>
      </c>
    </row>
    <row r="17" spans="2:9" ht="25.5">
      <c r="B17" s="105" t="s">
        <v>201</v>
      </c>
      <c r="C17" s="105" t="s">
        <v>204</v>
      </c>
      <c r="D17" s="105" t="s">
        <v>205</v>
      </c>
      <c r="E17" s="105" t="s">
        <v>206</v>
      </c>
      <c r="F17" s="105" t="s">
        <v>166</v>
      </c>
      <c r="G17" s="169">
        <v>1.43</v>
      </c>
      <c r="H17" s="107">
        <v>1</v>
      </c>
      <c r="I17" s="123">
        <f t="shared" si="0"/>
        <v>1.43</v>
      </c>
    </row>
    <row r="18" spans="2:9" ht="25.5">
      <c r="B18" s="105" t="s">
        <v>201</v>
      </c>
      <c r="C18" s="105" t="s">
        <v>207</v>
      </c>
      <c r="D18" s="105" t="s">
        <v>208</v>
      </c>
      <c r="E18" s="105" t="s">
        <v>206</v>
      </c>
      <c r="F18" s="105" t="s">
        <v>166</v>
      </c>
      <c r="G18" s="169">
        <v>0.08</v>
      </c>
      <c r="H18" s="107">
        <v>1</v>
      </c>
      <c r="I18" s="123">
        <f t="shared" si="0"/>
        <v>0.08</v>
      </c>
    </row>
    <row r="19" spans="2:9" ht="25.5">
      <c r="B19" s="105" t="s">
        <v>201</v>
      </c>
      <c r="C19" s="105" t="s">
        <v>209</v>
      </c>
      <c r="D19" s="105" t="s">
        <v>210</v>
      </c>
      <c r="E19" s="105" t="s">
        <v>206</v>
      </c>
      <c r="F19" s="105" t="s">
        <v>166</v>
      </c>
      <c r="G19" s="169">
        <v>0.01</v>
      </c>
      <c r="H19" s="107">
        <v>1</v>
      </c>
      <c r="I19" s="123">
        <f t="shared" si="0"/>
        <v>0.01</v>
      </c>
    </row>
    <row r="20" spans="2:9" ht="25.5">
      <c r="B20" s="105" t="s">
        <v>201</v>
      </c>
      <c r="C20" s="105" t="s">
        <v>211</v>
      </c>
      <c r="D20" s="105" t="s">
        <v>212</v>
      </c>
      <c r="E20" s="105" t="s">
        <v>206</v>
      </c>
      <c r="F20" s="105" t="s">
        <v>166</v>
      </c>
      <c r="G20" s="169">
        <v>0.77</v>
      </c>
      <c r="H20" s="107">
        <v>1</v>
      </c>
      <c r="I20" s="123">
        <f t="shared" si="0"/>
        <v>0.77</v>
      </c>
    </row>
    <row r="21" spans="2:9" ht="63" customHeight="1">
      <c r="B21" s="233" t="s">
        <v>213</v>
      </c>
      <c r="C21" s="234"/>
      <c r="D21" s="234"/>
      <c r="E21" s="234"/>
      <c r="F21" s="234"/>
      <c r="G21" s="234"/>
      <c r="H21" s="234"/>
      <c r="I21" s="234"/>
    </row>
  </sheetData>
  <mergeCells count="17">
    <mergeCell ref="B8:C8"/>
    <mergeCell ref="D8:I8"/>
    <mergeCell ref="B9:C9"/>
    <mergeCell ref="D9:I9"/>
    <mergeCell ref="B21:I21"/>
    <mergeCell ref="B2:I2"/>
    <mergeCell ref="B4:I4"/>
    <mergeCell ref="B5:C5"/>
    <mergeCell ref="D5:I5"/>
    <mergeCell ref="B6:C6"/>
    <mergeCell ref="D6:I6"/>
    <mergeCell ref="B10:C10"/>
    <mergeCell ref="D10:I10"/>
    <mergeCell ref="B11:C11"/>
    <mergeCell ref="D11:I11"/>
    <mergeCell ref="B7:C7"/>
    <mergeCell ref="D7:I7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0.79998168889431442"/>
  </sheetPr>
  <dimension ref="A1:AMJ25"/>
  <sheetViews>
    <sheetView zoomScaleNormal="100" workbookViewId="0">
      <selection activeCell="D9" sqref="D9"/>
    </sheetView>
  </sheetViews>
  <sheetFormatPr defaultColWidth="10.5" defaultRowHeight="14.25"/>
  <cols>
    <col min="1" max="1" width="5.25" style="124" customWidth="1"/>
    <col min="2" max="2" width="54.75" style="124" customWidth="1"/>
    <col min="3" max="3" width="38.75" style="124" customWidth="1"/>
    <col min="4" max="4" width="31.125" style="124" customWidth="1"/>
    <col min="5" max="1024" width="10.5" style="124"/>
  </cols>
  <sheetData>
    <row r="1" spans="2:3" ht="15" customHeight="1"/>
    <row r="2" spans="2:3">
      <c r="C2" s="125" t="s">
        <v>156</v>
      </c>
    </row>
    <row r="3" spans="2:3">
      <c r="B3" s="126" t="s">
        <v>214</v>
      </c>
      <c r="C3" s="125" t="s">
        <v>215</v>
      </c>
    </row>
    <row r="4" spans="2:3" ht="15">
      <c r="B4" s="126" t="s">
        <v>216</v>
      </c>
      <c r="C4" s="172" t="s">
        <v>217</v>
      </c>
    </row>
    <row r="5" spans="2:3">
      <c r="B5" s="126" t="s">
        <v>182</v>
      </c>
      <c r="C5" s="185" t="s">
        <v>218</v>
      </c>
    </row>
    <row r="6" spans="2:3" ht="25.5">
      <c r="B6" s="126" t="s">
        <v>219</v>
      </c>
      <c r="C6" s="172" t="s">
        <v>220</v>
      </c>
    </row>
    <row r="7" spans="2:3">
      <c r="B7" s="126" t="s">
        <v>221</v>
      </c>
      <c r="C7" s="173">
        <v>2752.2</v>
      </c>
    </row>
    <row r="8" spans="2:3">
      <c r="B8" s="127"/>
      <c r="C8" s="128"/>
    </row>
    <row r="9" spans="2:3" ht="25.5">
      <c r="B9" s="129" t="s">
        <v>222</v>
      </c>
      <c r="C9" s="126"/>
    </row>
    <row r="10" spans="2:3">
      <c r="B10" s="126" t="s">
        <v>186</v>
      </c>
      <c r="C10" s="130">
        <v>0.9345</v>
      </c>
    </row>
    <row r="11" spans="2:3">
      <c r="B11" s="126" t="s">
        <v>223</v>
      </c>
      <c r="C11" s="130">
        <v>0.54200000000000004</v>
      </c>
    </row>
    <row r="12" spans="2:3">
      <c r="B12" s="126" t="s">
        <v>187</v>
      </c>
      <c r="C12" s="130">
        <v>1.1637</v>
      </c>
    </row>
    <row r="13" spans="2:3">
      <c r="B13" s="126" t="s">
        <v>224</v>
      </c>
      <c r="C13" s="130">
        <v>0.72499999999999998</v>
      </c>
    </row>
    <row r="14" spans="2:3" ht="13.5" customHeight="1">
      <c r="B14" s="127"/>
      <c r="C14" s="127"/>
    </row>
    <row r="15" spans="2:3">
      <c r="B15" s="131" t="s">
        <v>225</v>
      </c>
      <c r="C15" s="132"/>
    </row>
    <row r="16" spans="2:3" ht="15.75">
      <c r="B16" s="133" t="s">
        <v>226</v>
      </c>
      <c r="C16" s="132">
        <f>C7*(1+C11)</f>
        <v>4243.8923999999997</v>
      </c>
    </row>
    <row r="17" spans="2:3" ht="15.75">
      <c r="B17" s="133" t="s">
        <v>227</v>
      </c>
      <c r="C17" s="132">
        <f>C7*(1+C13)</f>
        <v>4747.5450000000001</v>
      </c>
    </row>
    <row r="18" spans="2:3" ht="15.75">
      <c r="B18" s="133" t="s">
        <v>228</v>
      </c>
      <c r="C18" s="134">
        <f>C16*(1+C10)/(220*(1+C11))</f>
        <v>24.200594999999996</v>
      </c>
    </row>
    <row r="19" spans="2:3" ht="15.75">
      <c r="B19" s="133" t="s">
        <v>229</v>
      </c>
      <c r="C19" s="134">
        <f>(C17*(1+C12)/(220*(1+C13)))</f>
        <v>27.067886999999999</v>
      </c>
    </row>
    <row r="21" spans="2:3">
      <c r="B21" s="174" t="s">
        <v>230</v>
      </c>
    </row>
    <row r="22" spans="2:3" ht="90.75" customHeight="1">
      <c r="B22" s="238" t="s">
        <v>231</v>
      </c>
      <c r="C22" s="239"/>
    </row>
    <row r="23" spans="2:3" ht="42" customHeight="1">
      <c r="B23" s="237" t="s">
        <v>232</v>
      </c>
      <c r="C23" s="237"/>
    </row>
    <row r="24" spans="2:3" ht="41.25" customHeight="1">
      <c r="B24" s="237" t="s">
        <v>233</v>
      </c>
      <c r="C24" s="237"/>
    </row>
    <row r="25" spans="2:3" ht="33.75" customHeight="1">
      <c r="B25" s="237" t="s">
        <v>234</v>
      </c>
      <c r="C25" s="237"/>
    </row>
  </sheetData>
  <mergeCells count="4">
    <mergeCell ref="B23:C23"/>
    <mergeCell ref="B24:C24"/>
    <mergeCell ref="B25:C25"/>
    <mergeCell ref="B22:C22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Roman,Normal"&amp;12&amp;A</oddHeader>
    <oddFooter>&amp;C&amp;"Times New Roman,Normal"&amp;12Página &amp;P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0.79998168889431442"/>
  </sheetPr>
  <dimension ref="B1:K22"/>
  <sheetViews>
    <sheetView zoomScaleNormal="100" workbookViewId="0">
      <selection activeCell="M11" sqref="M11"/>
    </sheetView>
  </sheetViews>
  <sheetFormatPr defaultColWidth="8.625" defaultRowHeight="14.25"/>
  <cols>
    <col min="1" max="1" width="5.25" customWidth="1"/>
    <col min="2" max="2" width="9" customWidth="1"/>
    <col min="3" max="3" width="13.5" customWidth="1"/>
    <col min="4" max="4" width="55.875" customWidth="1"/>
    <col min="5" max="5" width="11.625" customWidth="1"/>
    <col min="6" max="6" width="10" customWidth="1"/>
    <col min="7" max="7" width="13.75" customWidth="1"/>
    <col min="8" max="8" width="12" customWidth="1"/>
    <col min="9" max="9" width="14.125" customWidth="1"/>
  </cols>
  <sheetData>
    <row r="1" spans="2:11" ht="15" customHeight="1"/>
    <row r="2" spans="2:11" ht="24.95" customHeight="1">
      <c r="B2" s="226" t="s">
        <v>235</v>
      </c>
      <c r="C2" s="226"/>
      <c r="D2" s="226"/>
      <c r="E2" s="226"/>
      <c r="F2" s="226"/>
      <c r="G2" s="226"/>
      <c r="H2" s="226"/>
      <c r="I2" s="226"/>
    </row>
    <row r="3" spans="2:11" ht="19.5" customHeight="1"/>
    <row r="4" spans="2:11" ht="16.5" customHeight="1">
      <c r="B4" s="228" t="s">
        <v>236</v>
      </c>
      <c r="C4" s="228"/>
      <c r="D4" s="228"/>
      <c r="E4" s="228"/>
      <c r="F4" s="228"/>
      <c r="G4" s="228"/>
      <c r="H4" s="228"/>
      <c r="I4" s="228"/>
    </row>
    <row r="5" spans="2:11" ht="16.5" customHeight="1">
      <c r="B5" s="220" t="s">
        <v>150</v>
      </c>
      <c r="C5" s="220"/>
      <c r="D5" s="222">
        <v>88264</v>
      </c>
      <c r="E5" s="222"/>
      <c r="F5" s="222"/>
      <c r="G5" s="222"/>
      <c r="H5" s="222"/>
      <c r="I5" s="222"/>
    </row>
    <row r="6" spans="2:11" ht="16.5" customHeight="1">
      <c r="B6" s="220" t="s">
        <v>120</v>
      </c>
      <c r="C6" s="220"/>
      <c r="D6" s="222" t="s">
        <v>237</v>
      </c>
      <c r="E6" s="222"/>
      <c r="F6" s="222"/>
      <c r="G6" s="222"/>
      <c r="H6" s="222"/>
      <c r="I6" s="222"/>
    </row>
    <row r="7" spans="2:11" ht="16.5" customHeight="1">
      <c r="B7" s="220" t="s">
        <v>153</v>
      </c>
      <c r="C7" s="220"/>
      <c r="D7" s="227" t="s">
        <v>154</v>
      </c>
      <c r="E7" s="227"/>
      <c r="F7" s="227"/>
      <c r="G7" s="227"/>
      <c r="H7" s="227"/>
      <c r="I7" s="227"/>
    </row>
    <row r="8" spans="2:11" ht="16.5" customHeight="1">
      <c r="B8" s="220" t="s">
        <v>155</v>
      </c>
      <c r="C8" s="220"/>
      <c r="D8" s="222" t="s">
        <v>156</v>
      </c>
      <c r="E8" s="222"/>
      <c r="F8" s="222"/>
      <c r="G8" s="222"/>
      <c r="H8" s="222"/>
      <c r="I8" s="222"/>
    </row>
    <row r="9" spans="2:11" ht="16.5" customHeight="1">
      <c r="B9" s="220" t="s">
        <v>157</v>
      </c>
      <c r="C9" s="220"/>
      <c r="D9" s="222" t="s">
        <v>238</v>
      </c>
      <c r="E9" s="222"/>
      <c r="F9" s="222"/>
      <c r="G9" s="222"/>
      <c r="H9" s="222"/>
      <c r="I9" s="222"/>
    </row>
    <row r="10" spans="2:11" ht="16.5" customHeight="1">
      <c r="B10" s="220" t="s">
        <v>121</v>
      </c>
      <c r="C10" s="220"/>
      <c r="D10" s="222" t="s">
        <v>166</v>
      </c>
      <c r="E10" s="222"/>
      <c r="F10" s="222"/>
      <c r="G10" s="222"/>
      <c r="H10" s="222"/>
      <c r="I10" s="222"/>
    </row>
    <row r="11" spans="2:11" ht="16.5" customHeight="1">
      <c r="B11" s="220" t="s">
        <v>122</v>
      </c>
      <c r="C11" s="220"/>
      <c r="D11" s="225">
        <f>SUM(I14:I22)</f>
        <v>37.687886999999996</v>
      </c>
      <c r="E11" s="225"/>
      <c r="F11" s="225"/>
      <c r="G11" s="225"/>
      <c r="H11" s="225"/>
      <c r="I11" s="225"/>
    </row>
    <row r="12" spans="2:11" ht="15.75" customHeight="1">
      <c r="B12" s="102"/>
      <c r="C12" s="102"/>
      <c r="D12" s="103"/>
      <c r="E12" s="103"/>
      <c r="F12" s="103"/>
      <c r="G12" s="103"/>
      <c r="H12" s="103"/>
      <c r="I12" s="103"/>
    </row>
    <row r="13" spans="2:11" ht="43.5" customHeight="1">
      <c r="B13" s="104"/>
      <c r="C13" s="104" t="s">
        <v>159</v>
      </c>
      <c r="D13" s="104" t="s">
        <v>120</v>
      </c>
      <c r="E13" s="104" t="s">
        <v>157</v>
      </c>
      <c r="F13" s="104" t="s">
        <v>121</v>
      </c>
      <c r="G13" s="104" t="s">
        <v>160</v>
      </c>
      <c r="H13" s="104" t="s">
        <v>161</v>
      </c>
      <c r="I13" s="104" t="s">
        <v>122</v>
      </c>
    </row>
    <row r="14" spans="2:11" ht="38.25">
      <c r="B14" s="105" t="s">
        <v>162</v>
      </c>
      <c r="C14" s="105">
        <v>95332</v>
      </c>
      <c r="D14" s="105" t="s">
        <v>239</v>
      </c>
      <c r="E14" s="105" t="s">
        <v>238</v>
      </c>
      <c r="F14" s="105" t="s">
        <v>166</v>
      </c>
      <c r="G14" s="169">
        <v>1</v>
      </c>
      <c r="H14" s="107">
        <v>1</v>
      </c>
      <c r="I14" s="123">
        <f t="shared" ref="I14:I22" si="0">G14*H14</f>
        <v>1</v>
      </c>
      <c r="J14" s="136"/>
      <c r="K14" s="136"/>
    </row>
    <row r="15" spans="2:11">
      <c r="B15" s="105" t="s">
        <v>201</v>
      </c>
      <c r="C15" s="105" t="s">
        <v>240</v>
      </c>
      <c r="D15" s="105" t="s">
        <v>241</v>
      </c>
      <c r="E15" s="105" t="s">
        <v>203</v>
      </c>
      <c r="F15" s="105" t="s">
        <v>166</v>
      </c>
      <c r="G15" s="169">
        <f>'Custo Oficial de Manutenção'!C19</f>
        <v>27.067886999999999</v>
      </c>
      <c r="H15" s="107">
        <v>1</v>
      </c>
      <c r="I15" s="123">
        <f t="shared" si="0"/>
        <v>27.067886999999999</v>
      </c>
      <c r="J15" s="136"/>
      <c r="K15" s="136"/>
    </row>
    <row r="16" spans="2:11" ht="25.5">
      <c r="B16" s="105" t="s">
        <v>201</v>
      </c>
      <c r="C16" s="105">
        <v>37370</v>
      </c>
      <c r="D16" s="105" t="s">
        <v>242</v>
      </c>
      <c r="E16" s="105" t="s">
        <v>206</v>
      </c>
      <c r="F16" s="105" t="s">
        <v>166</v>
      </c>
      <c r="G16" s="169">
        <v>4.76</v>
      </c>
      <c r="H16" s="107">
        <v>1</v>
      </c>
      <c r="I16" s="123">
        <f t="shared" si="0"/>
        <v>4.76</v>
      </c>
      <c r="J16" s="136"/>
      <c r="K16" s="136"/>
    </row>
    <row r="17" spans="2:11" ht="25.5">
      <c r="B17" s="105" t="s">
        <v>201</v>
      </c>
      <c r="C17" s="105">
        <v>37371</v>
      </c>
      <c r="D17" s="105" t="s">
        <v>243</v>
      </c>
      <c r="E17" s="105" t="s">
        <v>206</v>
      </c>
      <c r="F17" s="105" t="s">
        <v>166</v>
      </c>
      <c r="G17" s="169">
        <v>0.92</v>
      </c>
      <c r="H17" s="107">
        <v>1</v>
      </c>
      <c r="I17" s="123">
        <f t="shared" si="0"/>
        <v>0.92</v>
      </c>
      <c r="J17" s="136"/>
      <c r="K17" s="136"/>
    </row>
    <row r="18" spans="2:11" ht="25.5">
      <c r="B18" s="105" t="s">
        <v>201</v>
      </c>
      <c r="C18" s="105">
        <v>37372</v>
      </c>
      <c r="D18" s="105" t="s">
        <v>205</v>
      </c>
      <c r="E18" s="105" t="s">
        <v>206</v>
      </c>
      <c r="F18" s="105" t="s">
        <v>166</v>
      </c>
      <c r="G18" s="169">
        <v>1.43</v>
      </c>
      <c r="H18" s="107">
        <v>1</v>
      </c>
      <c r="I18" s="123">
        <f t="shared" si="0"/>
        <v>1.43</v>
      </c>
      <c r="J18" s="136"/>
      <c r="K18" s="136"/>
    </row>
    <row r="19" spans="2:11" ht="25.5">
      <c r="B19" s="105" t="s">
        <v>201</v>
      </c>
      <c r="C19" s="105">
        <v>37373</v>
      </c>
      <c r="D19" s="105" t="s">
        <v>208</v>
      </c>
      <c r="E19" s="105" t="s">
        <v>206</v>
      </c>
      <c r="F19" s="105" t="s">
        <v>166</v>
      </c>
      <c r="G19" s="169">
        <v>0.08</v>
      </c>
      <c r="H19" s="107">
        <v>1</v>
      </c>
      <c r="I19" s="123">
        <f t="shared" si="0"/>
        <v>0.08</v>
      </c>
      <c r="J19" s="136"/>
      <c r="K19" s="136"/>
    </row>
    <row r="20" spans="2:11" ht="25.5">
      <c r="B20" s="105" t="s">
        <v>201</v>
      </c>
      <c r="C20" s="105">
        <v>43460</v>
      </c>
      <c r="D20" s="105" t="s">
        <v>244</v>
      </c>
      <c r="E20" s="105" t="s">
        <v>206</v>
      </c>
      <c r="F20" s="105" t="s">
        <v>166</v>
      </c>
      <c r="G20" s="169">
        <v>0.86</v>
      </c>
      <c r="H20" s="107">
        <v>1</v>
      </c>
      <c r="I20" s="123">
        <f t="shared" si="0"/>
        <v>0.86</v>
      </c>
      <c r="J20" s="136"/>
      <c r="K20" s="136"/>
    </row>
    <row r="21" spans="2:11" s="137" customFormat="1" ht="25.5">
      <c r="B21" s="138" t="s">
        <v>201</v>
      </c>
      <c r="C21" s="138">
        <v>43461</v>
      </c>
      <c r="D21" s="138" t="s">
        <v>245</v>
      </c>
      <c r="E21" s="105" t="s">
        <v>206</v>
      </c>
      <c r="F21" s="138" t="s">
        <v>166</v>
      </c>
      <c r="G21" s="170">
        <v>0.31</v>
      </c>
      <c r="H21" s="139">
        <v>1</v>
      </c>
      <c r="I21" s="140">
        <f t="shared" si="0"/>
        <v>0.31</v>
      </c>
      <c r="J21" s="141"/>
      <c r="K21" s="141"/>
    </row>
    <row r="22" spans="2:11" ht="25.5">
      <c r="B22" s="105" t="s">
        <v>201</v>
      </c>
      <c r="C22" s="105">
        <v>43484</v>
      </c>
      <c r="D22" s="105" t="s">
        <v>246</v>
      </c>
      <c r="E22" s="105" t="s">
        <v>206</v>
      </c>
      <c r="F22" s="105" t="s">
        <v>166</v>
      </c>
      <c r="G22" s="169">
        <v>1.26</v>
      </c>
      <c r="H22" s="107">
        <v>1</v>
      </c>
      <c r="I22" s="123">
        <f t="shared" si="0"/>
        <v>1.26</v>
      </c>
      <c r="J22" s="136"/>
      <c r="K22" s="136"/>
    </row>
  </sheetData>
  <mergeCells count="16">
    <mergeCell ref="B2:I2"/>
    <mergeCell ref="B4:I4"/>
    <mergeCell ref="B5:C5"/>
    <mergeCell ref="D5:I5"/>
    <mergeCell ref="B6:C6"/>
    <mergeCell ref="D6:I6"/>
    <mergeCell ref="B10:C10"/>
    <mergeCell ref="D10:I10"/>
    <mergeCell ref="B11:C11"/>
    <mergeCell ref="D11:I11"/>
    <mergeCell ref="B7:C7"/>
    <mergeCell ref="D7:I7"/>
    <mergeCell ref="B8:C8"/>
    <mergeCell ref="D8:I8"/>
    <mergeCell ref="B9:C9"/>
    <mergeCell ref="D9:I9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/>
  </sheetPr>
  <dimension ref="B1:IY29"/>
  <sheetViews>
    <sheetView showGridLines="0" zoomScaleNormal="100" workbookViewId="0">
      <selection activeCell="P18" sqref="P18"/>
    </sheetView>
  </sheetViews>
  <sheetFormatPr defaultColWidth="10.375" defaultRowHeight="14.25"/>
  <cols>
    <col min="1" max="1" width="5.625" customWidth="1"/>
    <col min="2" max="2" width="15.5" style="11" customWidth="1"/>
    <col min="3" max="3" width="16.25" style="12" customWidth="1"/>
    <col min="4" max="4" width="32" style="11" customWidth="1"/>
    <col min="5" max="5" width="36.875" style="11" customWidth="1"/>
    <col min="6" max="6" width="15.25" style="12" customWidth="1"/>
    <col min="7" max="7" width="9" style="11" customWidth="1"/>
    <col min="8" max="8" width="9.125" style="11" customWidth="1"/>
    <col min="9" max="9" width="12" style="11" customWidth="1"/>
    <col min="10" max="11" width="11.25" style="11" customWidth="1"/>
    <col min="12" max="12" width="10.375" style="11"/>
    <col min="13" max="13" width="10.5" style="11" customWidth="1"/>
    <col min="14" max="14" width="12.5" style="11" customWidth="1"/>
    <col min="15" max="259" width="10.5" style="11" customWidth="1"/>
  </cols>
  <sheetData>
    <row r="1" spans="2:14" ht="15" customHeight="1"/>
    <row r="2" spans="2:14" s="142" customFormat="1" ht="29.25" customHeight="1">
      <c r="B2" s="240" t="str">
        <f>"RELAÇÃO DE UNIDADES DO "&amp;'Valor da Contratação'!B7&amp;""</f>
        <v>RELAÇÃO DE UNIDADES DO POLO I</v>
      </c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</row>
    <row r="3" spans="2:14" s="11" customFormat="1" ht="15" customHeight="1"/>
    <row r="4" spans="2:14" ht="66.75" customHeight="1">
      <c r="B4" s="2" t="s">
        <v>247</v>
      </c>
      <c r="C4" s="2" t="s">
        <v>12</v>
      </c>
      <c r="D4" s="2" t="s">
        <v>40</v>
      </c>
      <c r="E4" s="2" t="s">
        <v>248</v>
      </c>
      <c r="F4" s="2" t="s">
        <v>249</v>
      </c>
      <c r="G4" s="2" t="s">
        <v>250</v>
      </c>
      <c r="H4" s="2" t="s">
        <v>70</v>
      </c>
      <c r="I4" s="2" t="s">
        <v>251</v>
      </c>
      <c r="J4" s="2" t="s">
        <v>252</v>
      </c>
      <c r="K4" s="2" t="s">
        <v>253</v>
      </c>
      <c r="L4" s="2" t="s">
        <v>254</v>
      </c>
      <c r="M4" s="2" t="s">
        <v>255</v>
      </c>
      <c r="N4" s="2" t="s">
        <v>256</v>
      </c>
    </row>
    <row r="5" spans="2:14" ht="18" customHeight="1">
      <c r="B5" s="143" t="s">
        <v>20</v>
      </c>
      <c r="C5" s="143" t="s">
        <v>20</v>
      </c>
      <c r="D5" s="46" t="s">
        <v>80</v>
      </c>
      <c r="E5" s="144" t="s">
        <v>257</v>
      </c>
      <c r="F5" s="48">
        <f>117/60</f>
        <v>1.95</v>
      </c>
      <c r="G5" s="145">
        <v>0.03</v>
      </c>
      <c r="H5" s="145">
        <f>HLOOKUP(G5,BDI!$D$19:$J$30,12,)</f>
        <v>0.2354</v>
      </c>
      <c r="I5" s="66">
        <v>334.4</v>
      </c>
      <c r="J5" s="66">
        <v>296</v>
      </c>
      <c r="K5" s="66">
        <v>38.4</v>
      </c>
      <c r="L5" s="66">
        <v>0</v>
      </c>
      <c r="M5" s="66" t="s">
        <v>258</v>
      </c>
      <c r="N5" s="66" t="s">
        <v>258</v>
      </c>
    </row>
    <row r="6" spans="2:14" ht="18" customHeight="1">
      <c r="B6" s="143" t="s">
        <v>20</v>
      </c>
      <c r="C6" s="143" t="s">
        <v>20</v>
      </c>
      <c r="D6" s="46" t="s">
        <v>82</v>
      </c>
      <c r="E6" s="144" t="s">
        <v>259</v>
      </c>
      <c r="F6" s="48">
        <f>156/60</f>
        <v>2.6</v>
      </c>
      <c r="G6" s="145">
        <v>0.05</v>
      </c>
      <c r="H6" s="145">
        <f>HLOOKUP(G6,BDI!$D$19:$J$30,12,)</f>
        <v>0.26240000000000002</v>
      </c>
      <c r="I6" s="66">
        <v>2272.1799999999998</v>
      </c>
      <c r="J6" s="66">
        <v>1403.37</v>
      </c>
      <c r="K6" s="66">
        <v>651.61</v>
      </c>
      <c r="L6" s="66">
        <v>217.2</v>
      </c>
      <c r="M6" s="66" t="s">
        <v>260</v>
      </c>
      <c r="N6" s="66" t="s">
        <v>260</v>
      </c>
    </row>
    <row r="7" spans="2:14" ht="18" customHeight="1">
      <c r="B7" s="143" t="s">
        <v>20</v>
      </c>
      <c r="C7" s="143" t="s">
        <v>20</v>
      </c>
      <c r="D7" s="46" t="s">
        <v>84</v>
      </c>
      <c r="E7" s="176" t="s">
        <v>261</v>
      </c>
      <c r="F7" s="48">
        <f>76*2/60</f>
        <v>2.5333333333333332</v>
      </c>
      <c r="G7" s="145">
        <v>0.03</v>
      </c>
      <c r="H7" s="145">
        <f>HLOOKUP(G7,BDI!$D$19:$J$30,12,)</f>
        <v>0.2354</v>
      </c>
      <c r="I7" s="66">
        <v>948.9</v>
      </c>
      <c r="J7" s="66">
        <v>585</v>
      </c>
      <c r="K7" s="66">
        <v>363.9</v>
      </c>
      <c r="L7" s="66">
        <v>0</v>
      </c>
      <c r="M7" s="66" t="s">
        <v>258</v>
      </c>
      <c r="N7" s="66" t="s">
        <v>258</v>
      </c>
    </row>
    <row r="8" spans="2:14" ht="18" customHeight="1">
      <c r="B8" s="143" t="s">
        <v>20</v>
      </c>
      <c r="C8" s="143" t="s">
        <v>20</v>
      </c>
      <c r="D8" s="46" t="s">
        <v>85</v>
      </c>
      <c r="E8" s="176" t="s">
        <v>262</v>
      </c>
      <c r="F8" s="48">
        <f>82*2/60</f>
        <v>2.7333333333333334</v>
      </c>
      <c r="G8" s="145">
        <v>0.03</v>
      </c>
      <c r="H8" s="145">
        <f>HLOOKUP(G8,BDI!$D$19:$J$30,12,)</f>
        <v>0.2354</v>
      </c>
      <c r="I8" s="66">
        <v>334.4</v>
      </c>
      <c r="J8" s="66">
        <v>296</v>
      </c>
      <c r="K8" s="66">
        <v>38.4</v>
      </c>
      <c r="L8" s="66">
        <v>0</v>
      </c>
      <c r="M8" s="66" t="s">
        <v>258</v>
      </c>
      <c r="N8" s="66" t="s">
        <v>258</v>
      </c>
    </row>
    <row r="9" spans="2:14" ht="18" customHeight="1">
      <c r="B9" s="143" t="s">
        <v>20</v>
      </c>
      <c r="C9" s="143" t="s">
        <v>20</v>
      </c>
      <c r="D9" s="46" t="s">
        <v>86</v>
      </c>
      <c r="E9" s="144" t="s">
        <v>263</v>
      </c>
      <c r="F9" s="48">
        <f>114*2/60</f>
        <v>3.8</v>
      </c>
      <c r="G9" s="145">
        <v>0.04</v>
      </c>
      <c r="H9" s="145">
        <f>HLOOKUP(G9,BDI!$D$19:$J$30,12,)</f>
        <v>0.2487</v>
      </c>
      <c r="I9" s="66">
        <v>334.4</v>
      </c>
      <c r="J9" s="66">
        <v>296</v>
      </c>
      <c r="K9" s="66">
        <v>38.4</v>
      </c>
      <c r="L9" s="66">
        <v>0</v>
      </c>
      <c r="M9" s="66" t="s">
        <v>258</v>
      </c>
      <c r="N9" s="66" t="s">
        <v>258</v>
      </c>
    </row>
    <row r="10" spans="2:14" ht="18" customHeight="1">
      <c r="B10" s="143" t="s">
        <v>20</v>
      </c>
      <c r="C10" s="143" t="s">
        <v>20</v>
      </c>
      <c r="D10" s="46" t="s">
        <v>88</v>
      </c>
      <c r="E10" s="144" t="s">
        <v>264</v>
      </c>
      <c r="F10" s="48">
        <f>69*2/60</f>
        <v>2.2999999999999998</v>
      </c>
      <c r="G10" s="145">
        <v>0.05</v>
      </c>
      <c r="H10" s="145">
        <f>HLOOKUP(G10,BDI!$D$19:$J$30,12,)</f>
        <v>0.26240000000000002</v>
      </c>
      <c r="I10" s="66">
        <v>645.13</v>
      </c>
      <c r="J10" s="66">
        <v>452.2</v>
      </c>
      <c r="K10" s="66">
        <v>91.93</v>
      </c>
      <c r="L10" s="66">
        <v>101</v>
      </c>
      <c r="M10" s="66" t="s">
        <v>258</v>
      </c>
      <c r="N10" s="66" t="s">
        <v>260</v>
      </c>
    </row>
    <row r="11" spans="2:14" ht="18" customHeight="1">
      <c r="B11" s="143" t="s">
        <v>20</v>
      </c>
      <c r="C11" s="143" t="s">
        <v>20</v>
      </c>
      <c r="D11" s="46" t="s">
        <v>89</v>
      </c>
      <c r="E11" s="144" t="s">
        <v>265</v>
      </c>
      <c r="F11" s="48">
        <f>90/60</f>
        <v>1.5</v>
      </c>
      <c r="G11" s="145">
        <v>0.03</v>
      </c>
      <c r="H11" s="145">
        <f>HLOOKUP(G11,BDI!$D$19:$J$30,12,)</f>
        <v>0.2354</v>
      </c>
      <c r="I11" s="66">
        <v>334.4</v>
      </c>
      <c r="J11" s="66">
        <v>296</v>
      </c>
      <c r="K11" s="66">
        <v>38.4</v>
      </c>
      <c r="L11" s="66">
        <v>0</v>
      </c>
      <c r="M11" s="66" t="s">
        <v>258</v>
      </c>
      <c r="N11" s="66" t="s">
        <v>258</v>
      </c>
    </row>
    <row r="12" spans="2:14" ht="18" customHeight="1">
      <c r="B12" s="143" t="s">
        <v>20</v>
      </c>
      <c r="C12" s="143" t="s">
        <v>20</v>
      </c>
      <c r="D12" s="46" t="s">
        <v>91</v>
      </c>
      <c r="E12" s="144" t="s">
        <v>266</v>
      </c>
      <c r="F12" s="48">
        <f>92/60</f>
        <v>1.5333333333333334</v>
      </c>
      <c r="G12" s="145">
        <v>0.02</v>
      </c>
      <c r="H12" s="145">
        <f>HLOOKUP(G12,BDI!$D$19:$J$30,12,)</f>
        <v>0.2223</v>
      </c>
      <c r="I12" s="66">
        <v>334.4</v>
      </c>
      <c r="J12" s="66">
        <v>296</v>
      </c>
      <c r="K12" s="66">
        <v>38.4</v>
      </c>
      <c r="L12" s="66">
        <v>0</v>
      </c>
      <c r="M12" s="66" t="s">
        <v>258</v>
      </c>
      <c r="N12" s="66" t="s">
        <v>258</v>
      </c>
    </row>
    <row r="13" spans="2:14" ht="18" customHeight="1">
      <c r="B13" s="143" t="s">
        <v>20</v>
      </c>
      <c r="C13" s="143" t="s">
        <v>20</v>
      </c>
      <c r="D13" s="46" t="s">
        <v>92</v>
      </c>
      <c r="E13" s="144" t="s">
        <v>267</v>
      </c>
      <c r="F13" s="48">
        <f>42/60</f>
        <v>0.7</v>
      </c>
      <c r="G13" s="145">
        <v>0.03</v>
      </c>
      <c r="H13" s="145">
        <f>HLOOKUP(G13,BDI!$D$19:$J$30,12,)</f>
        <v>0.2354</v>
      </c>
      <c r="I13" s="66">
        <v>334.4</v>
      </c>
      <c r="J13" s="66">
        <v>296</v>
      </c>
      <c r="K13" s="66">
        <v>38.4</v>
      </c>
      <c r="L13" s="66">
        <v>0</v>
      </c>
      <c r="M13" s="66" t="s">
        <v>258</v>
      </c>
      <c r="N13" s="66" t="s">
        <v>258</v>
      </c>
    </row>
    <row r="14" spans="2:14" ht="18" customHeight="1">
      <c r="B14" s="143" t="s">
        <v>20</v>
      </c>
      <c r="C14" s="143" t="s">
        <v>20</v>
      </c>
      <c r="D14" s="46" t="s">
        <v>94</v>
      </c>
      <c r="E14" s="144" t="s">
        <v>268</v>
      </c>
      <c r="F14" s="48">
        <f>114/60</f>
        <v>1.9</v>
      </c>
      <c r="G14" s="145">
        <v>0.04</v>
      </c>
      <c r="H14" s="145">
        <f>HLOOKUP(G14,BDI!$D$19:$J$30,12,)</f>
        <v>0.2487</v>
      </c>
      <c r="I14" s="66">
        <v>2638.17</v>
      </c>
      <c r="J14" s="66">
        <v>1217.05</v>
      </c>
      <c r="K14" s="66">
        <v>346.5</v>
      </c>
      <c r="L14" s="66">
        <v>1074.6199999999999</v>
      </c>
      <c r="M14" s="66" t="s">
        <v>260</v>
      </c>
      <c r="N14" s="66" t="s">
        <v>260</v>
      </c>
    </row>
    <row r="15" spans="2:14" ht="18" customHeight="1">
      <c r="B15" s="143" t="s">
        <v>20</v>
      </c>
      <c r="C15" s="143" t="s">
        <v>20</v>
      </c>
      <c r="D15" s="46" t="s">
        <v>95</v>
      </c>
      <c r="E15" s="144" t="s">
        <v>269</v>
      </c>
      <c r="F15" s="48">
        <f>284/60</f>
        <v>4.7333333333333334</v>
      </c>
      <c r="G15" s="145">
        <v>0.02</v>
      </c>
      <c r="H15" s="145">
        <f>HLOOKUP(G15,BDI!$D$19:$J$30,12,)</f>
        <v>0.2223</v>
      </c>
      <c r="I15" s="66">
        <v>3345.5</v>
      </c>
      <c r="J15" s="66">
        <v>2007</v>
      </c>
      <c r="K15" s="66">
        <v>1003.5</v>
      </c>
      <c r="L15" s="66">
        <v>335</v>
      </c>
      <c r="M15" s="66" t="s">
        <v>260</v>
      </c>
      <c r="N15" s="66" t="s">
        <v>260</v>
      </c>
    </row>
    <row r="16" spans="2:14" ht="18" customHeight="1">
      <c r="B16" s="143" t="s">
        <v>20</v>
      </c>
      <c r="C16" s="143" t="s">
        <v>20</v>
      </c>
      <c r="D16" s="46" t="s">
        <v>96</v>
      </c>
      <c r="E16" s="144" t="s">
        <v>270</v>
      </c>
      <c r="F16" s="48">
        <f>20/60</f>
        <v>0.33333333333333331</v>
      </c>
      <c r="G16" s="145">
        <v>0.03</v>
      </c>
      <c r="H16" s="145">
        <f>HLOOKUP(G16,BDI!$D$19:$J$30,12,)</f>
        <v>0.2354</v>
      </c>
      <c r="I16" s="66">
        <v>1122</v>
      </c>
      <c r="J16" s="66">
        <v>882</v>
      </c>
      <c r="K16" s="66">
        <v>240</v>
      </c>
      <c r="L16" s="66">
        <v>0</v>
      </c>
      <c r="M16" s="66" t="s">
        <v>258</v>
      </c>
      <c r="N16" s="66" t="s">
        <v>258</v>
      </c>
    </row>
    <row r="17" spans="2:14" ht="18" customHeight="1">
      <c r="B17" s="143" t="s">
        <v>20</v>
      </c>
      <c r="C17" s="143" t="s">
        <v>20</v>
      </c>
      <c r="D17" s="46" t="s">
        <v>97</v>
      </c>
      <c r="E17" s="144" t="s">
        <v>271</v>
      </c>
      <c r="F17" s="48">
        <v>0</v>
      </c>
      <c r="G17" s="145">
        <v>0.03</v>
      </c>
      <c r="H17" s="145">
        <f>HLOOKUP(G17,BDI!$D$19:$J$30,12,)</f>
        <v>0.2354</v>
      </c>
      <c r="I17" s="66">
        <v>3140.36</v>
      </c>
      <c r="J17" s="66">
        <v>2714.7</v>
      </c>
      <c r="K17" s="66">
        <v>425.66</v>
      </c>
      <c r="L17" s="66">
        <v>0</v>
      </c>
      <c r="M17" s="66" t="s">
        <v>260</v>
      </c>
      <c r="N17" s="66" t="s">
        <v>260</v>
      </c>
    </row>
    <row r="18" spans="2:14" ht="18" customHeight="1">
      <c r="B18" s="143" t="s">
        <v>20</v>
      </c>
      <c r="C18" s="143" t="s">
        <v>21</v>
      </c>
      <c r="D18" s="46" t="s">
        <v>136</v>
      </c>
      <c r="E18" s="144" t="s">
        <v>272</v>
      </c>
      <c r="F18" s="48">
        <f>214/60</f>
        <v>3.5666666666666669</v>
      </c>
      <c r="G18" s="145">
        <v>0.02</v>
      </c>
      <c r="H18" s="145">
        <f>HLOOKUP(G18,BDI!$D$19:$J$30,12,)</f>
        <v>0.2223</v>
      </c>
      <c r="I18" s="66">
        <v>851.2</v>
      </c>
      <c r="J18" s="66">
        <v>425.6</v>
      </c>
      <c r="K18" s="66">
        <v>42.56</v>
      </c>
      <c r="L18" s="66">
        <v>383.04</v>
      </c>
      <c r="M18" s="66" t="s">
        <v>260</v>
      </c>
      <c r="N18" s="66" t="s">
        <v>260</v>
      </c>
    </row>
    <row r="19" spans="2:14" ht="18" customHeight="1">
      <c r="B19" s="143" t="s">
        <v>21</v>
      </c>
      <c r="C19" s="143" t="s">
        <v>21</v>
      </c>
      <c r="D19" s="46" t="s">
        <v>137</v>
      </c>
      <c r="E19" s="144" t="s">
        <v>273</v>
      </c>
      <c r="F19" s="48">
        <v>0</v>
      </c>
      <c r="G19" s="145">
        <v>0.03</v>
      </c>
      <c r="H19" s="145">
        <f>HLOOKUP(G19,BDI!$D$19:$J$30,12,)</f>
        <v>0.2354</v>
      </c>
      <c r="I19" s="66">
        <v>1362.95</v>
      </c>
      <c r="J19" s="66">
        <v>930.36</v>
      </c>
      <c r="K19" s="66">
        <v>268.62</v>
      </c>
      <c r="L19" s="66">
        <v>163.97</v>
      </c>
      <c r="M19" s="66" t="s">
        <v>260</v>
      </c>
      <c r="N19" s="66" t="s">
        <v>258</v>
      </c>
    </row>
    <row r="20" spans="2:14" ht="18" customHeight="1">
      <c r="B20" s="143" t="s">
        <v>21</v>
      </c>
      <c r="C20" s="143" t="s">
        <v>21</v>
      </c>
      <c r="D20" s="46" t="s">
        <v>138</v>
      </c>
      <c r="E20" s="144" t="s">
        <v>274</v>
      </c>
      <c r="F20" s="48">
        <f>4/60</f>
        <v>6.6666666666666666E-2</v>
      </c>
      <c r="G20" s="145">
        <v>0.03</v>
      </c>
      <c r="H20" s="145">
        <f>HLOOKUP(G20,BDI!$D$19:$J$30,12,)</f>
        <v>0.2354</v>
      </c>
      <c r="I20" s="66">
        <v>3298.13</v>
      </c>
      <c r="J20" s="66">
        <v>1621.17</v>
      </c>
      <c r="K20" s="66">
        <v>1676.96</v>
      </c>
      <c r="L20" s="66">
        <v>0</v>
      </c>
      <c r="M20" s="66" t="s">
        <v>260</v>
      </c>
      <c r="N20" s="66" t="s">
        <v>260</v>
      </c>
    </row>
    <row r="21" spans="2:14" ht="18" customHeight="1">
      <c r="B21" s="143" t="s">
        <v>21</v>
      </c>
      <c r="C21" s="143" t="s">
        <v>21</v>
      </c>
      <c r="D21" s="46" t="s">
        <v>139</v>
      </c>
      <c r="E21" s="144" t="s">
        <v>275</v>
      </c>
      <c r="F21" s="48">
        <f>84/60</f>
        <v>1.4</v>
      </c>
      <c r="G21" s="145">
        <v>0.03</v>
      </c>
      <c r="H21" s="145">
        <f>HLOOKUP(G21,BDI!$D$19:$J$30,12,)</f>
        <v>0.2354</v>
      </c>
      <c r="I21" s="66">
        <v>2005</v>
      </c>
      <c r="J21" s="66">
        <v>1554.31</v>
      </c>
      <c r="K21" s="66">
        <v>450.69</v>
      </c>
      <c r="L21" s="66">
        <v>0</v>
      </c>
      <c r="M21" s="66" t="s">
        <v>260</v>
      </c>
      <c r="N21" s="66" t="s">
        <v>260</v>
      </c>
    </row>
    <row r="22" spans="2:14" ht="18" customHeight="1">
      <c r="B22" s="143" t="s">
        <v>21</v>
      </c>
      <c r="C22" s="143" t="s">
        <v>21</v>
      </c>
      <c r="D22" s="46" t="s">
        <v>140</v>
      </c>
      <c r="E22" s="144" t="s">
        <v>276</v>
      </c>
      <c r="F22" s="48">
        <f>74*2/60</f>
        <v>2.4666666666666668</v>
      </c>
      <c r="G22" s="145">
        <v>0.02</v>
      </c>
      <c r="H22" s="145">
        <f>HLOOKUP(G22,BDI!$D$19:$J$30,12,)</f>
        <v>0.2223</v>
      </c>
      <c r="I22" s="66">
        <v>785.22</v>
      </c>
      <c r="J22" s="66">
        <v>551.75</v>
      </c>
      <c r="K22" s="66">
        <v>233.47</v>
      </c>
      <c r="L22" s="66">
        <v>0</v>
      </c>
      <c r="M22" s="66" t="s">
        <v>258</v>
      </c>
      <c r="N22" s="66" t="s">
        <v>258</v>
      </c>
    </row>
    <row r="23" spans="2:14" ht="18" customHeight="1">
      <c r="B23" s="143" t="s">
        <v>21</v>
      </c>
      <c r="C23" s="143" t="s">
        <v>21</v>
      </c>
      <c r="D23" s="46" t="s">
        <v>141</v>
      </c>
      <c r="E23" s="144" t="s">
        <v>277</v>
      </c>
      <c r="F23" s="48">
        <f>69*2/60</f>
        <v>2.2999999999999998</v>
      </c>
      <c r="G23" s="145">
        <v>0.03</v>
      </c>
      <c r="H23" s="145">
        <f>HLOOKUP(G23,BDI!$D$19:$J$30,12,)</f>
        <v>0.2354</v>
      </c>
      <c r="I23" s="66">
        <v>525</v>
      </c>
      <c r="J23" s="66">
        <v>423.47</v>
      </c>
      <c r="K23" s="66">
        <v>101.53</v>
      </c>
      <c r="L23" s="66">
        <v>0</v>
      </c>
      <c r="M23" s="66" t="s">
        <v>258</v>
      </c>
      <c r="N23" s="66" t="s">
        <v>258</v>
      </c>
    </row>
    <row r="24" spans="2:14" ht="18" customHeight="1">
      <c r="B24" s="143" t="s">
        <v>21</v>
      </c>
      <c r="C24" s="143" t="s">
        <v>21</v>
      </c>
      <c r="D24" s="46" t="s">
        <v>142</v>
      </c>
      <c r="E24" s="144" t="s">
        <v>278</v>
      </c>
      <c r="F24" s="48">
        <f>77*2/60</f>
        <v>2.5666666666666669</v>
      </c>
      <c r="G24" s="145">
        <v>0.03</v>
      </c>
      <c r="H24" s="145">
        <f>HLOOKUP(G24,BDI!$D$19:$J$30,12,)</f>
        <v>0.2354</v>
      </c>
      <c r="I24" s="66">
        <v>334.4</v>
      </c>
      <c r="J24" s="66">
        <v>296</v>
      </c>
      <c r="K24" s="66">
        <v>38.4</v>
      </c>
      <c r="L24" s="66">
        <v>0</v>
      </c>
      <c r="M24" s="66" t="s">
        <v>258</v>
      </c>
      <c r="N24" s="66" t="s">
        <v>258</v>
      </c>
    </row>
    <row r="25" spans="2:14" ht="18" customHeight="1">
      <c r="B25" s="143" t="s">
        <v>21</v>
      </c>
      <c r="C25" s="143" t="s">
        <v>21</v>
      </c>
      <c r="D25" s="46" t="s">
        <v>143</v>
      </c>
      <c r="E25" s="144" t="s">
        <v>279</v>
      </c>
      <c r="F25" s="48">
        <f>244/60</f>
        <v>4.0666666666666664</v>
      </c>
      <c r="G25" s="145">
        <v>0.04</v>
      </c>
      <c r="H25" s="145">
        <f>HLOOKUP(G25,BDI!$D$19:$J$30,12,)</f>
        <v>0.2487</v>
      </c>
      <c r="I25" s="66">
        <v>567.94000000000005</v>
      </c>
      <c r="J25" s="66">
        <v>450.82</v>
      </c>
      <c r="K25" s="66">
        <v>117.12</v>
      </c>
      <c r="L25" s="66">
        <v>0</v>
      </c>
      <c r="M25" s="66" t="s">
        <v>258</v>
      </c>
      <c r="N25" s="66" t="s">
        <v>260</v>
      </c>
    </row>
    <row r="26" spans="2:14" ht="18" customHeight="1">
      <c r="B26" s="143" t="s">
        <v>21</v>
      </c>
      <c r="C26" s="143" t="s">
        <v>21</v>
      </c>
      <c r="D26" s="46" t="s">
        <v>144</v>
      </c>
      <c r="E26" s="144" t="s">
        <v>280</v>
      </c>
      <c r="F26" s="48">
        <f>73*2/60</f>
        <v>2.4333333333333331</v>
      </c>
      <c r="G26" s="145">
        <v>0.03</v>
      </c>
      <c r="H26" s="145">
        <f>HLOOKUP(G26,BDI!$D$19:$J$30,12,)</f>
        <v>0.2354</v>
      </c>
      <c r="I26" s="66">
        <v>1340</v>
      </c>
      <c r="J26" s="66">
        <v>695.46</v>
      </c>
      <c r="K26" s="66">
        <v>389.89</v>
      </c>
      <c r="L26" s="66">
        <v>254.65</v>
      </c>
      <c r="M26" s="66" t="s">
        <v>258</v>
      </c>
      <c r="N26" s="66" t="s">
        <v>258</v>
      </c>
    </row>
    <row r="27" spans="2:14" ht="18" customHeight="1">
      <c r="B27" s="143" t="s">
        <v>21</v>
      </c>
      <c r="C27" s="143" t="s">
        <v>21</v>
      </c>
      <c r="D27" s="46" t="s">
        <v>145</v>
      </c>
      <c r="E27" s="176" t="s">
        <v>281</v>
      </c>
      <c r="F27" s="48">
        <f>89*2/60</f>
        <v>2.9666666666666668</v>
      </c>
      <c r="G27" s="145">
        <v>0.03</v>
      </c>
      <c r="H27" s="145">
        <f>HLOOKUP(G27,BDI!$D$19:$J$30,12,)</f>
        <v>0.2354</v>
      </c>
      <c r="I27" s="66">
        <v>334.4</v>
      </c>
      <c r="J27" s="66">
        <v>296</v>
      </c>
      <c r="K27" s="66">
        <v>38.4</v>
      </c>
      <c r="L27" s="66">
        <v>0</v>
      </c>
      <c r="M27" s="66" t="s">
        <v>258</v>
      </c>
      <c r="N27" s="66" t="s">
        <v>258</v>
      </c>
    </row>
    <row r="28" spans="2:14" ht="18" customHeight="1">
      <c r="B28" s="143" t="s">
        <v>21</v>
      </c>
      <c r="C28" s="143" t="s">
        <v>21</v>
      </c>
      <c r="D28" s="46" t="s">
        <v>146</v>
      </c>
      <c r="E28" s="144" t="s">
        <v>282</v>
      </c>
      <c r="F28" s="48">
        <f>235/60</f>
        <v>3.9166666666666665</v>
      </c>
      <c r="G28" s="145">
        <v>0.04</v>
      </c>
      <c r="H28" s="145">
        <f>HLOOKUP(G28,BDI!$D$19:$J$30,12,)</f>
        <v>0.2487</v>
      </c>
      <c r="I28" s="66">
        <v>3100</v>
      </c>
      <c r="J28" s="66">
        <v>2069.9899999999998</v>
      </c>
      <c r="K28" s="66">
        <v>964.36</v>
      </c>
      <c r="L28" s="66">
        <v>65.650000000000006</v>
      </c>
      <c r="M28" s="66" t="s">
        <v>260</v>
      </c>
      <c r="N28" s="66" t="s">
        <v>260</v>
      </c>
    </row>
    <row r="29" spans="2:14" ht="18" customHeight="1">
      <c r="B29" s="143" t="s">
        <v>21</v>
      </c>
      <c r="C29" s="143" t="s">
        <v>21</v>
      </c>
      <c r="D29" s="46" t="s">
        <v>147</v>
      </c>
      <c r="E29" s="144" t="s">
        <v>283</v>
      </c>
      <c r="F29" s="48">
        <f>211/60</f>
        <v>3.5166666666666666</v>
      </c>
      <c r="G29" s="145">
        <v>0.02</v>
      </c>
      <c r="H29" s="145">
        <f>HLOOKUP(G29,BDI!$D$19:$J$30,12,)</f>
        <v>0.2223</v>
      </c>
      <c r="I29" s="66">
        <v>334.4</v>
      </c>
      <c r="J29" s="66">
        <v>296</v>
      </c>
      <c r="K29" s="66">
        <v>38.4</v>
      </c>
      <c r="L29" s="66">
        <v>0</v>
      </c>
      <c r="M29" s="66" t="s">
        <v>258</v>
      </c>
      <c r="N29" s="66" t="s">
        <v>258</v>
      </c>
    </row>
  </sheetData>
  <mergeCells count="1">
    <mergeCell ref="B2:N2"/>
  </mergeCells>
  <printOptions horizontalCentered="1"/>
  <pageMargins left="0.25486111111111098" right="0.240972222222222" top="0.49583333333333302" bottom="0.33333333333333298" header="0.511811023622047" footer="0.511811023622047"/>
  <pageSetup paperSize="9" orientation="portrait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FF"/>
  </sheetPr>
  <dimension ref="B1:J65541"/>
  <sheetViews>
    <sheetView showGridLines="0" zoomScaleNormal="100" workbookViewId="0">
      <selection activeCell="L32" sqref="L32"/>
    </sheetView>
  </sheetViews>
  <sheetFormatPr defaultColWidth="10.375" defaultRowHeight="14.25"/>
  <cols>
    <col min="1" max="1" width="5.625" customWidth="1"/>
    <col min="2" max="2" width="15.625" style="146" customWidth="1"/>
    <col min="3" max="3" width="35.875" style="146" customWidth="1"/>
    <col min="4" max="4" width="11" style="37" customWidth="1"/>
    <col min="1024" max="1024" width="8.5" customWidth="1"/>
  </cols>
  <sheetData>
    <row r="1" spans="2:10" ht="15" customHeight="1"/>
    <row r="2" spans="2:10" ht="19.5" customHeight="1">
      <c r="B2" s="247" t="s">
        <v>284</v>
      </c>
      <c r="C2" s="247"/>
      <c r="D2" s="247"/>
      <c r="E2" s="247"/>
      <c r="F2" s="247"/>
      <c r="G2" s="247"/>
      <c r="H2" s="247"/>
      <c r="I2" s="247"/>
      <c r="J2" s="247"/>
    </row>
    <row r="3" spans="2:10" ht="19.5" customHeight="1">
      <c r="B3" s="248" t="str">
        <f>'Valor da Contratação'!B8</f>
        <v>NÃO DESONERADA</v>
      </c>
      <c r="C3" s="248"/>
      <c r="D3" s="248"/>
      <c r="E3" s="248"/>
      <c r="F3" s="248"/>
      <c r="G3" s="248"/>
      <c r="H3" s="248"/>
      <c r="I3" s="248"/>
      <c r="J3" s="248"/>
    </row>
    <row r="4" spans="2:10" ht="15" customHeight="1">
      <c r="B4" s="135"/>
      <c r="C4" s="135"/>
      <c r="D4" s="14"/>
    </row>
    <row r="5" spans="2:10" ht="15" customHeight="1">
      <c r="B5" s="249" t="s">
        <v>285</v>
      </c>
      <c r="C5" s="249"/>
      <c r="D5" s="249"/>
      <c r="E5" s="249"/>
      <c r="F5" s="249"/>
      <c r="G5" s="249"/>
      <c r="H5" s="249"/>
      <c r="I5" s="249"/>
      <c r="J5" s="249"/>
    </row>
    <row r="6" spans="2:10" ht="15" customHeight="1">
      <c r="B6" s="147"/>
      <c r="C6" s="3"/>
      <c r="D6" s="93"/>
      <c r="E6" s="93"/>
      <c r="J6" s="148"/>
    </row>
    <row r="7" spans="2:10" ht="15" customHeight="1">
      <c r="B7" s="250" t="s">
        <v>286</v>
      </c>
      <c r="C7" s="250"/>
      <c r="D7" s="250"/>
      <c r="E7" s="250"/>
      <c r="F7" s="250"/>
      <c r="G7" s="250"/>
      <c r="H7" s="250"/>
      <c r="I7" s="250"/>
      <c r="J7" s="250"/>
    </row>
    <row r="8" spans="2:10" ht="15" customHeight="1">
      <c r="B8" s="149"/>
      <c r="C8" s="150"/>
      <c r="D8" s="93"/>
      <c r="E8" s="93"/>
      <c r="J8" s="148"/>
    </row>
    <row r="9" spans="2:10" ht="15" customHeight="1">
      <c r="B9" s="251" t="s">
        <v>287</v>
      </c>
      <c r="C9" s="251"/>
      <c r="D9" s="251"/>
      <c r="E9" s="251"/>
      <c r="F9" s="251"/>
      <c r="G9" s="251"/>
      <c r="H9" s="251"/>
      <c r="I9" s="251"/>
      <c r="J9" s="251"/>
    </row>
    <row r="10" spans="2:10" ht="15" customHeight="1">
      <c r="B10" s="245" t="s">
        <v>288</v>
      </c>
      <c r="C10" s="245"/>
      <c r="D10" s="245"/>
      <c r="E10" s="245"/>
      <c r="F10" s="245"/>
      <c r="G10" s="245"/>
      <c r="H10" s="245"/>
      <c r="I10" s="245"/>
      <c r="J10" s="245"/>
    </row>
    <row r="11" spans="2:10" ht="15" customHeight="1">
      <c r="B11" s="245" t="s">
        <v>289</v>
      </c>
      <c r="C11" s="245"/>
      <c r="D11" s="245"/>
      <c r="E11" s="245"/>
      <c r="F11" s="245"/>
      <c r="G11" s="245"/>
      <c r="H11" s="245"/>
      <c r="I11" s="245"/>
      <c r="J11" s="245"/>
    </row>
    <row r="12" spans="2:10" ht="15" customHeight="1">
      <c r="B12" s="245" t="s">
        <v>290</v>
      </c>
      <c r="C12" s="245"/>
      <c r="D12" s="245"/>
      <c r="E12" s="245"/>
      <c r="F12" s="245"/>
      <c r="G12" s="245"/>
      <c r="H12" s="245"/>
      <c r="I12" s="245"/>
      <c r="J12" s="245"/>
    </row>
    <row r="13" spans="2:10" ht="15" customHeight="1">
      <c r="B13" s="245" t="s">
        <v>291</v>
      </c>
      <c r="C13" s="245"/>
      <c r="D13" s="245"/>
      <c r="E13" s="245"/>
      <c r="F13" s="245"/>
      <c r="G13" s="245"/>
      <c r="H13" s="245"/>
      <c r="I13" s="245"/>
      <c r="J13" s="245"/>
    </row>
    <row r="14" spans="2:10" ht="15" customHeight="1">
      <c r="B14" s="245" t="s">
        <v>292</v>
      </c>
      <c r="C14" s="245"/>
      <c r="D14" s="245"/>
      <c r="E14" s="245"/>
      <c r="F14" s="245"/>
      <c r="G14" s="245"/>
      <c r="H14" s="245"/>
      <c r="I14" s="245"/>
      <c r="J14" s="245"/>
    </row>
    <row r="15" spans="2:10" ht="15" customHeight="1">
      <c r="B15" s="245" t="s">
        <v>293</v>
      </c>
      <c r="C15" s="245"/>
      <c r="D15" s="245"/>
      <c r="E15" s="245"/>
      <c r="F15" s="245"/>
      <c r="G15" s="245"/>
      <c r="H15" s="245"/>
      <c r="I15" s="245"/>
      <c r="J15" s="245"/>
    </row>
    <row r="16" spans="2:10" ht="15" customHeight="1">
      <c r="B16" s="246" t="s">
        <v>294</v>
      </c>
      <c r="C16" s="246"/>
      <c r="D16" s="246"/>
      <c r="E16" s="246"/>
      <c r="F16" s="246"/>
      <c r="G16" s="246"/>
      <c r="H16" s="246"/>
      <c r="I16" s="246"/>
      <c r="J16" s="246"/>
    </row>
    <row r="17" spans="2:10" ht="24.75" customHeight="1">
      <c r="D17" s="14"/>
    </row>
    <row r="18" spans="2:10" ht="16.5" customHeight="1">
      <c r="B18" s="192" t="s">
        <v>295</v>
      </c>
      <c r="C18" s="192"/>
      <c r="D18" s="151" t="s">
        <v>250</v>
      </c>
      <c r="E18" s="151" t="s">
        <v>250</v>
      </c>
      <c r="F18" s="151" t="s">
        <v>250</v>
      </c>
      <c r="G18" s="152" t="s">
        <v>250</v>
      </c>
      <c r="H18" s="153" t="s">
        <v>250</v>
      </c>
      <c r="I18" s="153" t="s">
        <v>250</v>
      </c>
      <c r="J18" s="153" t="s">
        <v>250</v>
      </c>
    </row>
    <row r="19" spans="2:10" ht="16.5" customHeight="1">
      <c r="B19" s="192"/>
      <c r="C19" s="192"/>
      <c r="D19" s="154">
        <v>0.05</v>
      </c>
      <c r="E19" s="154">
        <v>0.04</v>
      </c>
      <c r="F19" s="154">
        <v>3.5000000000000003E-2</v>
      </c>
      <c r="G19" s="155">
        <v>0.03</v>
      </c>
      <c r="H19" s="156">
        <v>2.5000000000000001E-2</v>
      </c>
      <c r="I19" s="156">
        <v>0.02</v>
      </c>
      <c r="J19" s="156">
        <v>1.4999999999999999E-2</v>
      </c>
    </row>
    <row r="20" spans="2:10" ht="16.5" customHeight="1">
      <c r="B20" s="157" t="s">
        <v>296</v>
      </c>
      <c r="C20" s="158" t="s">
        <v>297</v>
      </c>
      <c r="D20" s="159">
        <v>0.04</v>
      </c>
      <c r="E20" s="159">
        <v>0.04</v>
      </c>
      <c r="F20" s="159">
        <v>0.04</v>
      </c>
      <c r="G20" s="159">
        <v>0.04</v>
      </c>
      <c r="H20" s="159">
        <v>0.04</v>
      </c>
      <c r="I20" s="159">
        <v>0.04</v>
      </c>
      <c r="J20" s="159">
        <v>0.04</v>
      </c>
    </row>
    <row r="21" spans="2:10" ht="16.5" customHeight="1">
      <c r="B21" s="157" t="s">
        <v>298</v>
      </c>
      <c r="C21" s="143" t="s">
        <v>299</v>
      </c>
      <c r="D21" s="160">
        <v>1.23E-2</v>
      </c>
      <c r="E21" s="160">
        <v>1.23E-2</v>
      </c>
      <c r="F21" s="160">
        <v>1.23E-2</v>
      </c>
      <c r="G21" s="160">
        <v>1.23E-2</v>
      </c>
      <c r="H21" s="160">
        <v>1.23E-2</v>
      </c>
      <c r="I21" s="160">
        <v>1.23E-2</v>
      </c>
      <c r="J21" s="160">
        <v>1.23E-2</v>
      </c>
    </row>
    <row r="22" spans="2:10" ht="16.5" customHeight="1">
      <c r="B22" s="157" t="s">
        <v>300</v>
      </c>
      <c r="C22" s="143" t="s">
        <v>301</v>
      </c>
      <c r="D22" s="160">
        <v>8.0000000000000002E-3</v>
      </c>
      <c r="E22" s="160">
        <v>8.0000000000000002E-3</v>
      </c>
      <c r="F22" s="160">
        <v>8.0000000000000002E-3</v>
      </c>
      <c r="G22" s="160">
        <v>8.0000000000000002E-3</v>
      </c>
      <c r="H22" s="160">
        <v>8.0000000000000002E-3</v>
      </c>
      <c r="I22" s="160">
        <v>8.0000000000000002E-3</v>
      </c>
      <c r="J22" s="160">
        <v>8.0000000000000002E-3</v>
      </c>
    </row>
    <row r="23" spans="2:10" ht="16.5" customHeight="1">
      <c r="B23" s="157" t="s">
        <v>302</v>
      </c>
      <c r="C23" s="143" t="s">
        <v>303</v>
      </c>
      <c r="D23" s="160">
        <v>1.2699999999999999E-2</v>
      </c>
      <c r="E23" s="160">
        <v>1.2699999999999999E-2</v>
      </c>
      <c r="F23" s="160">
        <v>1.2699999999999999E-2</v>
      </c>
      <c r="G23" s="160">
        <v>1.2699999999999999E-2</v>
      </c>
      <c r="H23" s="160">
        <v>1.2699999999999999E-2</v>
      </c>
      <c r="I23" s="160">
        <v>1.2699999999999999E-2</v>
      </c>
      <c r="J23" s="160">
        <v>1.2699999999999999E-2</v>
      </c>
    </row>
    <row r="24" spans="2:10" ht="16.5" customHeight="1">
      <c r="B24" s="157" t="s">
        <v>304</v>
      </c>
      <c r="C24" s="143" t="s">
        <v>305</v>
      </c>
      <c r="D24" s="160">
        <v>7.3999999999999996E-2</v>
      </c>
      <c r="E24" s="160">
        <v>7.3999999999999996E-2</v>
      </c>
      <c r="F24" s="160">
        <v>7.3999999999999996E-2</v>
      </c>
      <c r="G24" s="160">
        <v>7.3999999999999996E-2</v>
      </c>
      <c r="H24" s="160">
        <v>7.3999999999999996E-2</v>
      </c>
      <c r="I24" s="160">
        <v>7.3999999999999996E-2</v>
      </c>
      <c r="J24" s="160">
        <v>7.3999999999999996E-2</v>
      </c>
    </row>
    <row r="25" spans="2:10" ht="16.5" customHeight="1">
      <c r="B25" s="242" t="s">
        <v>201</v>
      </c>
      <c r="C25" s="143" t="s">
        <v>306</v>
      </c>
      <c r="D25" s="160">
        <v>6.4999999999999997E-3</v>
      </c>
      <c r="E25" s="160">
        <v>6.4999999999999997E-3</v>
      </c>
      <c r="F25" s="160">
        <v>6.4999999999999997E-3</v>
      </c>
      <c r="G25" s="160">
        <v>6.4999999999999997E-3</v>
      </c>
      <c r="H25" s="160">
        <v>6.4999999999999997E-3</v>
      </c>
      <c r="I25" s="160">
        <v>6.4999999999999997E-3</v>
      </c>
      <c r="J25" s="160">
        <v>6.4999999999999997E-3</v>
      </c>
    </row>
    <row r="26" spans="2:10" ht="16.5" customHeight="1">
      <c r="B26" s="242"/>
      <c r="C26" s="157" t="s">
        <v>307</v>
      </c>
      <c r="D26" s="161">
        <v>0.03</v>
      </c>
      <c r="E26" s="161">
        <v>0.03</v>
      </c>
      <c r="F26" s="161">
        <v>0.03</v>
      </c>
      <c r="G26" s="161">
        <v>0.03</v>
      </c>
      <c r="H26" s="161">
        <v>0.03</v>
      </c>
      <c r="I26" s="161">
        <v>0.03</v>
      </c>
      <c r="J26" s="161">
        <v>0.03</v>
      </c>
    </row>
    <row r="27" spans="2:10" ht="16.5" customHeight="1">
      <c r="B27" s="242"/>
      <c r="C27" s="157" t="s">
        <v>250</v>
      </c>
      <c r="D27" s="161">
        <v>0.05</v>
      </c>
      <c r="E27" s="161">
        <v>0.04</v>
      </c>
      <c r="F27" s="160">
        <v>3.5000000000000003E-2</v>
      </c>
      <c r="G27" s="161">
        <v>0.03</v>
      </c>
      <c r="H27" s="161">
        <v>2.5000000000000001E-2</v>
      </c>
      <c r="I27" s="161">
        <v>0.02</v>
      </c>
      <c r="J27" s="160">
        <v>1.4999999999999999E-2</v>
      </c>
    </row>
    <row r="28" spans="2:10" ht="16.5" customHeight="1">
      <c r="B28" s="242"/>
      <c r="C28" s="157" t="s">
        <v>308</v>
      </c>
      <c r="D28" s="161">
        <v>0</v>
      </c>
      <c r="E28" s="161">
        <f t="shared" ref="E28:J28" si="0">$D$28</f>
        <v>0</v>
      </c>
      <c r="F28" s="161">
        <f t="shared" si="0"/>
        <v>0</v>
      </c>
      <c r="G28" s="161">
        <f t="shared" si="0"/>
        <v>0</v>
      </c>
      <c r="H28" s="161">
        <f t="shared" si="0"/>
        <v>0</v>
      </c>
      <c r="I28" s="161">
        <f t="shared" si="0"/>
        <v>0</v>
      </c>
      <c r="J28" s="161">
        <f t="shared" si="0"/>
        <v>0</v>
      </c>
    </row>
    <row r="29" spans="2:10" ht="19.5" customHeight="1">
      <c r="B29" s="210" t="s">
        <v>309</v>
      </c>
      <c r="C29" s="210"/>
      <c r="D29" s="162">
        <f t="shared" ref="D29:J29" si="1">(((1+D22+D20+D23)*(1+D21)*(1+D24))/(1-(D25+D26+D27+D28))-1)</f>
        <v>0.26240159730706081</v>
      </c>
      <c r="E29" s="162">
        <f t="shared" si="1"/>
        <v>0.24873184530590153</v>
      </c>
      <c r="F29" s="162">
        <f t="shared" si="1"/>
        <v>0.24200738733441041</v>
      </c>
      <c r="G29" s="162">
        <f t="shared" si="1"/>
        <v>0.23535496426352442</v>
      </c>
      <c r="H29" s="162">
        <f t="shared" si="1"/>
        <v>0.22877342476291962</v>
      </c>
      <c r="I29" s="162">
        <f t="shared" si="1"/>
        <v>0.22226164190779008</v>
      </c>
      <c r="J29" s="162">
        <f t="shared" si="1"/>
        <v>0.21581851253558249</v>
      </c>
    </row>
    <row r="30" spans="2:10" ht="19.5" customHeight="1">
      <c r="B30" s="241" t="s">
        <v>310</v>
      </c>
      <c r="C30" s="241"/>
      <c r="D30" s="163">
        <f t="shared" ref="D30:J30" si="2">ROUND(D29,4)</f>
        <v>0.26240000000000002</v>
      </c>
      <c r="E30" s="163">
        <f t="shared" si="2"/>
        <v>0.2487</v>
      </c>
      <c r="F30" s="163">
        <f t="shared" si="2"/>
        <v>0.24199999999999999</v>
      </c>
      <c r="G30" s="163">
        <f t="shared" si="2"/>
        <v>0.2354</v>
      </c>
      <c r="H30" s="163">
        <f t="shared" si="2"/>
        <v>0.2288</v>
      </c>
      <c r="I30" s="163">
        <f t="shared" si="2"/>
        <v>0.2223</v>
      </c>
      <c r="J30" s="163">
        <f t="shared" si="2"/>
        <v>0.21579999999999999</v>
      </c>
    </row>
    <row r="31" spans="2:10" ht="24.75" customHeight="1">
      <c r="B31" s="164"/>
      <c r="C31" s="164"/>
      <c r="D31" s="67"/>
      <c r="E31" s="67"/>
      <c r="F31" s="67"/>
      <c r="G31" s="67"/>
      <c r="H31" s="67"/>
      <c r="I31" s="67"/>
      <c r="J31" s="67"/>
    </row>
    <row r="32" spans="2:10" ht="16.5" customHeight="1">
      <c r="B32" s="192" t="s">
        <v>311</v>
      </c>
      <c r="C32" s="192"/>
      <c r="D32" s="151" t="s">
        <v>250</v>
      </c>
      <c r="E32" s="151" t="s">
        <v>250</v>
      </c>
      <c r="F32" s="151" t="s">
        <v>250</v>
      </c>
      <c r="G32" s="152" t="s">
        <v>250</v>
      </c>
      <c r="H32" s="153" t="s">
        <v>250</v>
      </c>
      <c r="I32" s="153" t="s">
        <v>250</v>
      </c>
      <c r="J32" s="153" t="s">
        <v>250</v>
      </c>
    </row>
    <row r="33" spans="2:10" ht="16.5" customHeight="1">
      <c r="B33" s="192"/>
      <c r="C33" s="192"/>
      <c r="D33" s="154">
        <v>0.05</v>
      </c>
      <c r="E33" s="154">
        <v>0.04</v>
      </c>
      <c r="F33" s="154">
        <v>3.5000000000000003E-2</v>
      </c>
      <c r="G33" s="155">
        <v>0.03</v>
      </c>
      <c r="H33" s="156">
        <v>2.5000000000000001E-2</v>
      </c>
      <c r="I33" s="156">
        <v>0.02</v>
      </c>
      <c r="J33" s="156">
        <v>1.4999999999999999E-2</v>
      </c>
    </row>
    <row r="34" spans="2:10" ht="16.5" customHeight="1">
      <c r="B34" s="157" t="s">
        <v>296</v>
      </c>
      <c r="C34" s="158" t="s">
        <v>297</v>
      </c>
      <c r="D34" s="160">
        <v>3.4500000000000003E-2</v>
      </c>
      <c r="E34" s="160">
        <v>3.4500000000000003E-2</v>
      </c>
      <c r="F34" s="160">
        <v>3.4500000000000003E-2</v>
      </c>
      <c r="G34" s="160">
        <v>3.4500000000000003E-2</v>
      </c>
      <c r="H34" s="160">
        <v>3.4500000000000003E-2</v>
      </c>
      <c r="I34" s="160">
        <v>3.4500000000000003E-2</v>
      </c>
      <c r="J34" s="160">
        <v>3.4500000000000003E-2</v>
      </c>
    </row>
    <row r="35" spans="2:10" ht="16.5" customHeight="1">
      <c r="B35" s="157" t="s">
        <v>298</v>
      </c>
      <c r="C35" s="143" t="s">
        <v>299</v>
      </c>
      <c r="D35" s="160">
        <v>8.5000000000000006E-3</v>
      </c>
      <c r="E35" s="160">
        <v>8.5000000000000006E-3</v>
      </c>
      <c r="F35" s="160">
        <v>8.5000000000000006E-3</v>
      </c>
      <c r="G35" s="160">
        <v>8.5000000000000006E-3</v>
      </c>
      <c r="H35" s="160">
        <v>8.5000000000000006E-3</v>
      </c>
      <c r="I35" s="160">
        <v>8.5000000000000006E-3</v>
      </c>
      <c r="J35" s="160">
        <v>8.5000000000000006E-3</v>
      </c>
    </row>
    <row r="36" spans="2:10" ht="16.5" customHeight="1">
      <c r="B36" s="157" t="s">
        <v>300</v>
      </c>
      <c r="C36" s="143" t="s">
        <v>301</v>
      </c>
      <c r="D36" s="160">
        <v>4.7999999999999996E-3</v>
      </c>
      <c r="E36" s="160">
        <v>4.7999999999999996E-3</v>
      </c>
      <c r="F36" s="160">
        <v>4.7999999999999996E-3</v>
      </c>
      <c r="G36" s="160">
        <v>4.7999999999999996E-3</v>
      </c>
      <c r="H36" s="160">
        <v>4.7999999999999996E-3</v>
      </c>
      <c r="I36" s="160">
        <v>4.7999999999999996E-3</v>
      </c>
      <c r="J36" s="160">
        <v>4.7999999999999996E-3</v>
      </c>
    </row>
    <row r="37" spans="2:10" ht="16.5" customHeight="1">
      <c r="B37" s="157" t="s">
        <v>302</v>
      </c>
      <c r="C37" s="143" t="s">
        <v>303</v>
      </c>
      <c r="D37" s="160">
        <v>8.5000000000000006E-3</v>
      </c>
      <c r="E37" s="160">
        <v>8.5000000000000006E-3</v>
      </c>
      <c r="F37" s="160">
        <v>8.5000000000000006E-3</v>
      </c>
      <c r="G37" s="160">
        <v>8.5000000000000006E-3</v>
      </c>
      <c r="H37" s="160">
        <v>8.5000000000000006E-3</v>
      </c>
      <c r="I37" s="160">
        <v>8.5000000000000006E-3</v>
      </c>
      <c r="J37" s="160">
        <v>8.5000000000000006E-3</v>
      </c>
    </row>
    <row r="38" spans="2:10" ht="16.5" customHeight="1">
      <c r="B38" s="157" t="s">
        <v>304</v>
      </c>
      <c r="C38" s="143" t="s">
        <v>305</v>
      </c>
      <c r="D38" s="160">
        <v>5.11E-2</v>
      </c>
      <c r="E38" s="160">
        <v>5.11E-2</v>
      </c>
      <c r="F38" s="160">
        <v>5.11E-2</v>
      </c>
      <c r="G38" s="160">
        <v>5.11E-2</v>
      </c>
      <c r="H38" s="160">
        <v>5.11E-2</v>
      </c>
      <c r="I38" s="160">
        <v>5.11E-2</v>
      </c>
      <c r="J38" s="160">
        <v>5.11E-2</v>
      </c>
    </row>
    <row r="39" spans="2:10" ht="16.5" customHeight="1">
      <c r="B39" s="242" t="s">
        <v>201</v>
      </c>
      <c r="C39" s="143" t="s">
        <v>306</v>
      </c>
      <c r="D39" s="160">
        <v>6.4999999999999997E-3</v>
      </c>
      <c r="E39" s="160">
        <v>6.4999999999999997E-3</v>
      </c>
      <c r="F39" s="160">
        <v>6.4999999999999997E-3</v>
      </c>
      <c r="G39" s="160">
        <v>6.4999999999999997E-3</v>
      </c>
      <c r="H39" s="160">
        <v>6.4999999999999997E-3</v>
      </c>
      <c r="I39" s="160">
        <v>6.4999999999999997E-3</v>
      </c>
      <c r="J39" s="160">
        <v>6.4999999999999997E-3</v>
      </c>
    </row>
    <row r="40" spans="2:10" ht="16.5" customHeight="1">
      <c r="B40" s="242"/>
      <c r="C40" s="157" t="s">
        <v>307</v>
      </c>
      <c r="D40" s="161">
        <v>0.03</v>
      </c>
      <c r="E40" s="161">
        <v>0.03</v>
      </c>
      <c r="F40" s="161">
        <v>0.03</v>
      </c>
      <c r="G40" s="161">
        <v>0.03</v>
      </c>
      <c r="H40" s="161">
        <v>0.03</v>
      </c>
      <c r="I40" s="161">
        <v>0.03</v>
      </c>
      <c r="J40" s="161">
        <v>0.03</v>
      </c>
    </row>
    <row r="41" spans="2:10" ht="16.5" customHeight="1">
      <c r="B41" s="242"/>
      <c r="C41" s="157" t="s">
        <v>250</v>
      </c>
      <c r="D41" s="161">
        <v>0</v>
      </c>
      <c r="E41" s="161">
        <v>0</v>
      </c>
      <c r="F41" s="160">
        <v>0</v>
      </c>
      <c r="G41" s="161">
        <v>0</v>
      </c>
      <c r="H41" s="161">
        <v>0</v>
      </c>
      <c r="I41" s="161">
        <v>0</v>
      </c>
      <c r="J41" s="160">
        <v>0</v>
      </c>
    </row>
    <row r="42" spans="2:10" ht="16.5" customHeight="1">
      <c r="B42" s="242"/>
      <c r="C42" s="157" t="s">
        <v>308</v>
      </c>
      <c r="D42" s="161">
        <f>D28</f>
        <v>0</v>
      </c>
      <c r="E42" s="161">
        <f t="shared" ref="E42:J42" si="3">$D$42</f>
        <v>0</v>
      </c>
      <c r="F42" s="161">
        <f t="shared" si="3"/>
        <v>0</v>
      </c>
      <c r="G42" s="161">
        <f t="shared" si="3"/>
        <v>0</v>
      </c>
      <c r="H42" s="161">
        <f t="shared" si="3"/>
        <v>0</v>
      </c>
      <c r="I42" s="161">
        <f t="shared" si="3"/>
        <v>0</v>
      </c>
      <c r="J42" s="161">
        <f t="shared" si="3"/>
        <v>0</v>
      </c>
    </row>
    <row r="43" spans="2:10" ht="16.5" customHeight="1">
      <c r="B43" s="243" t="s">
        <v>309</v>
      </c>
      <c r="C43" s="243"/>
      <c r="D43" s="162">
        <f t="shared" ref="D43:J43" si="4">(((1+D36+D34+D37)*(1+D35)*(1+D38))/(1-(D39+D40+D41+D42))-1)</f>
        <v>0.15278047942916406</v>
      </c>
      <c r="E43" s="162">
        <f t="shared" si="4"/>
        <v>0.15278047942916406</v>
      </c>
      <c r="F43" s="162">
        <f t="shared" si="4"/>
        <v>0.15278047942916406</v>
      </c>
      <c r="G43" s="162">
        <f t="shared" si="4"/>
        <v>0.15278047942916406</v>
      </c>
      <c r="H43" s="162">
        <f t="shared" si="4"/>
        <v>0.15278047942916406</v>
      </c>
      <c r="I43" s="162">
        <f t="shared" si="4"/>
        <v>0.15278047942916406</v>
      </c>
      <c r="J43" s="162">
        <f t="shared" si="4"/>
        <v>0.15278047942916406</v>
      </c>
    </row>
    <row r="44" spans="2:10" ht="19.5" customHeight="1">
      <c r="B44" s="244" t="s">
        <v>310</v>
      </c>
      <c r="C44" s="244"/>
      <c r="D44" s="163">
        <f t="shared" ref="D44:J44" si="5">ROUND(D43,4)</f>
        <v>0.15279999999999999</v>
      </c>
      <c r="E44" s="163">
        <f t="shared" si="5"/>
        <v>0.15279999999999999</v>
      </c>
      <c r="F44" s="163">
        <f t="shared" si="5"/>
        <v>0.15279999999999999</v>
      </c>
      <c r="G44" s="163">
        <f t="shared" si="5"/>
        <v>0.15279999999999999</v>
      </c>
      <c r="H44" s="163">
        <f t="shared" si="5"/>
        <v>0.15279999999999999</v>
      </c>
      <c r="I44" s="163">
        <f t="shared" si="5"/>
        <v>0.15279999999999999</v>
      </c>
      <c r="J44" s="163">
        <f t="shared" si="5"/>
        <v>0.15279999999999999</v>
      </c>
    </row>
    <row r="65540" ht="12.75" customHeight="1"/>
    <row r="65541" ht="12.75" customHeight="1"/>
  </sheetData>
  <mergeCells count="20">
    <mergeCell ref="B2:J2"/>
    <mergeCell ref="B3:J3"/>
    <mergeCell ref="B5:J5"/>
    <mergeCell ref="B7:J7"/>
    <mergeCell ref="B9:J9"/>
    <mergeCell ref="B10:J10"/>
    <mergeCell ref="B11:J11"/>
    <mergeCell ref="B12:J12"/>
    <mergeCell ref="B13:J13"/>
    <mergeCell ref="B14:J14"/>
    <mergeCell ref="B15:J15"/>
    <mergeCell ref="B16:J16"/>
    <mergeCell ref="B18:C19"/>
    <mergeCell ref="B25:B28"/>
    <mergeCell ref="B29:C29"/>
    <mergeCell ref="B30:C30"/>
    <mergeCell ref="B32:C33"/>
    <mergeCell ref="B39:B42"/>
    <mergeCell ref="B43:C43"/>
    <mergeCell ref="B44:C44"/>
  </mergeCells>
  <printOptions horizontalCentered="1"/>
  <pageMargins left="0.25486111111111098" right="0.240972222222222" top="0.49583333333333302" bottom="0.33333333333333298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FF"/>
  </sheetPr>
  <dimension ref="B1:IP40"/>
  <sheetViews>
    <sheetView showGridLines="0" zoomScaleNormal="100" workbookViewId="0">
      <selection activeCell="M13" sqref="M13"/>
    </sheetView>
  </sheetViews>
  <sheetFormatPr defaultColWidth="10.5" defaultRowHeight="14.25"/>
  <cols>
    <col min="1" max="1" width="5.625" customWidth="1"/>
    <col min="2" max="2" width="33.375" style="11" customWidth="1"/>
    <col min="3" max="4" width="14.75" style="11" customWidth="1"/>
    <col min="5" max="5" width="15.625" style="11" customWidth="1"/>
    <col min="6" max="6" width="13.75" style="11" customWidth="1"/>
    <col min="7" max="7" width="14.875" style="11" customWidth="1"/>
    <col min="8" max="8" width="14.375" style="11" customWidth="1"/>
    <col min="9" max="9" width="14" style="12" customWidth="1"/>
    <col min="10" max="10" width="14.875" style="11" customWidth="1"/>
    <col min="11" max="249" width="10.625" style="11" customWidth="1"/>
    <col min="1020" max="1024" width="8.5" customWidth="1"/>
  </cols>
  <sheetData>
    <row r="1" spans="2:250" ht="15" customHeight="1"/>
    <row r="2" spans="2:250" ht="24.75" customHeight="1">
      <c r="B2" s="191" t="str">
        <f>"PLANILHA RESUMO "&amp;'Valor da Contratação'!B7&amp;""</f>
        <v>PLANILHA RESUMO POLO I</v>
      </c>
      <c r="C2" s="191"/>
      <c r="D2" s="191"/>
      <c r="E2" s="191"/>
      <c r="F2" s="191"/>
      <c r="G2" s="191"/>
      <c r="H2" s="191"/>
      <c r="I2" s="191"/>
      <c r="J2" s="13"/>
    </row>
    <row r="3" spans="2:250" ht="15" customHeight="1">
      <c r="B3" s="3"/>
      <c r="H3" s="3"/>
      <c r="I3" s="14"/>
    </row>
    <row r="4" spans="2:250" ht="46.5" customHeight="1">
      <c r="B4" s="15" t="s">
        <v>12</v>
      </c>
      <c r="C4" s="15" t="s">
        <v>13</v>
      </c>
      <c r="D4" s="15" t="s">
        <v>14</v>
      </c>
      <c r="E4" s="15" t="s">
        <v>15</v>
      </c>
      <c r="F4" s="15" t="s">
        <v>16</v>
      </c>
      <c r="G4" s="15" t="s">
        <v>17</v>
      </c>
      <c r="H4" s="15" t="s">
        <v>18</v>
      </c>
      <c r="I4" s="15" t="s">
        <v>19</v>
      </c>
    </row>
    <row r="5" spans="2:250" ht="19.5" customHeight="1">
      <c r="B5" s="16" t="s">
        <v>20</v>
      </c>
      <c r="C5" s="17">
        <f>'Base Maringá'!C20</f>
        <v>16118.64</v>
      </c>
      <c r="D5" s="18">
        <f>'Base Maringá'!AT10</f>
        <v>18384.744537057562</v>
      </c>
      <c r="E5" s="18">
        <f>D5*12</f>
        <v>220616.93444469076</v>
      </c>
      <c r="F5" s="18">
        <f>'Base Maringá'!AT12</f>
        <v>55154.233611172669</v>
      </c>
      <c r="G5" s="18">
        <f>F5*12</f>
        <v>661850.803334072</v>
      </c>
      <c r="H5" s="18">
        <f>D5+F5</f>
        <v>73538.978148230235</v>
      </c>
      <c r="I5" s="18">
        <f>H5*12</f>
        <v>882467.73777876282</v>
      </c>
    </row>
    <row r="6" spans="2:250" ht="19.5" customHeight="1">
      <c r="B6" s="16" t="s">
        <v>21</v>
      </c>
      <c r="C6" s="17">
        <f>'Base Cascavel'!C19</f>
        <v>14838.64</v>
      </c>
      <c r="D6" s="18">
        <f>'Base Cascavel'!AT10</f>
        <v>18115.042037861214</v>
      </c>
      <c r="E6" s="18">
        <f>D6*12</f>
        <v>217380.50445433456</v>
      </c>
      <c r="F6" s="18">
        <f>'Base Cascavel'!AT12</f>
        <v>54345.126113583647</v>
      </c>
      <c r="G6" s="18">
        <f>F6*12</f>
        <v>652141.51336300373</v>
      </c>
      <c r="H6" s="18">
        <f>D6+F6</f>
        <v>72460.168151444857</v>
      </c>
      <c r="I6" s="18">
        <f>H6*12</f>
        <v>869522.01781733823</v>
      </c>
    </row>
    <row r="7" spans="2:250" ht="19.5" customHeight="1">
      <c r="B7" s="19" t="str">
        <f>"TOTAL "&amp;'Valor da Contratação'!B7&amp;""</f>
        <v>TOTAL POLO I</v>
      </c>
      <c r="C7" s="20">
        <f>SUM(C5:C6)</f>
        <v>30957.279999999999</v>
      </c>
      <c r="D7" s="181">
        <f t="shared" ref="D7:I7" si="0">SUM(D5:D6)</f>
        <v>36499.786574918777</v>
      </c>
      <c r="E7" s="181">
        <f t="shared" si="0"/>
        <v>437997.43889902532</v>
      </c>
      <c r="F7" s="181">
        <f t="shared" si="0"/>
        <v>109499.35972475632</v>
      </c>
      <c r="G7" s="181">
        <f t="shared" si="0"/>
        <v>1313992.3166970757</v>
      </c>
      <c r="H7" s="181">
        <f t="shared" si="0"/>
        <v>145999.14629967511</v>
      </c>
      <c r="I7" s="181">
        <f t="shared" si="0"/>
        <v>1751989.7555961011</v>
      </c>
      <c r="J7" s="21"/>
    </row>
    <row r="8" spans="2:250" ht="24.75" customHeight="1">
      <c r="B8" s="3"/>
      <c r="C8" s="3"/>
      <c r="D8" s="3"/>
      <c r="E8" s="3"/>
      <c r="F8" s="3"/>
      <c r="G8" s="22"/>
      <c r="H8" s="3"/>
      <c r="I8" s="14"/>
    </row>
    <row r="9" spans="2:250" s="23" customFormat="1" ht="27" customHeight="1">
      <c r="B9" s="192" t="str">
        <f>"BASE "&amp;B5</f>
        <v>BASE MARINGÁ</v>
      </c>
      <c r="C9" s="193" t="s">
        <v>22</v>
      </c>
      <c r="D9" s="193"/>
      <c r="E9" s="193"/>
      <c r="F9" s="193" t="s">
        <v>23</v>
      </c>
      <c r="G9" s="193"/>
      <c r="H9" s="193"/>
      <c r="I9" s="2" t="s">
        <v>24</v>
      </c>
      <c r="IP9" s="24"/>
    </row>
    <row r="10" spans="2:250" s="23" customFormat="1" ht="22.5" customHeight="1">
      <c r="B10" s="192"/>
      <c r="C10" s="25" t="s">
        <v>25</v>
      </c>
      <c r="D10" s="25" t="s">
        <v>26</v>
      </c>
      <c r="E10" s="25" t="s">
        <v>27</v>
      </c>
      <c r="F10" s="26" t="s">
        <v>25</v>
      </c>
      <c r="G10" s="26" t="s">
        <v>26</v>
      </c>
      <c r="H10" s="26" t="s">
        <v>27</v>
      </c>
      <c r="I10" s="26" t="s">
        <v>28</v>
      </c>
      <c r="IP10" s="24"/>
    </row>
    <row r="11" spans="2:250" ht="16.5" customHeight="1">
      <c r="B11" s="16" t="str">
        <f>'Base Maringá'!B7</f>
        <v>APS ASTORGA</v>
      </c>
      <c r="C11" s="18">
        <f>'Base Maringá'!AO7</f>
        <v>1172.7442562972249</v>
      </c>
      <c r="D11" s="18">
        <f t="shared" ref="D11:D23" si="1">C11*3</f>
        <v>3518.2327688916748</v>
      </c>
      <c r="E11" s="18">
        <f t="shared" ref="E11:E23" si="2">C11+D11</f>
        <v>4690.9770251888995</v>
      </c>
      <c r="F11" s="18">
        <f t="shared" ref="F11:F23" si="3">C11*12</f>
        <v>14072.931075566699</v>
      </c>
      <c r="G11" s="18">
        <f t="shared" ref="G11:G23" si="4">F11*3</f>
        <v>42218.793226700102</v>
      </c>
      <c r="H11" s="18">
        <f t="shared" ref="H11:H23" si="5">F11+G11</f>
        <v>56291.724302266797</v>
      </c>
      <c r="I11" s="27">
        <f t="shared" ref="I11:I23" si="6">F11/$E$7</f>
        <v>3.213016749810501E-2</v>
      </c>
    </row>
    <row r="12" spans="2:250" ht="16.5" customHeight="1">
      <c r="B12" s="16" t="str">
        <f>'Base Maringá'!B8</f>
        <v>APS CAMPO MOURÃO</v>
      </c>
      <c r="C12" s="18">
        <f>'Base Maringá'!AO8</f>
        <v>1944.219183508354</v>
      </c>
      <c r="D12" s="18">
        <f t="shared" si="1"/>
        <v>5832.6575505250621</v>
      </c>
      <c r="E12" s="18">
        <f t="shared" si="2"/>
        <v>7776.8767340334161</v>
      </c>
      <c r="F12" s="18">
        <f t="shared" si="3"/>
        <v>23330.630202100248</v>
      </c>
      <c r="G12" s="18">
        <f t="shared" si="4"/>
        <v>69991.890606300745</v>
      </c>
      <c r="H12" s="18">
        <f t="shared" si="5"/>
        <v>93322.520808400994</v>
      </c>
      <c r="I12" s="27">
        <f t="shared" si="6"/>
        <v>5.3266590463965764E-2</v>
      </c>
    </row>
    <row r="13" spans="2:250" ht="16.5" customHeight="1">
      <c r="B13" s="16" t="str">
        <f>'Base Maringá'!B9</f>
        <v>APS CIANORTE</v>
      </c>
      <c r="C13" s="18">
        <f>'Base Maringá'!AO9</f>
        <v>1069.0595140173598</v>
      </c>
      <c r="D13" s="18">
        <f t="shared" si="1"/>
        <v>3207.1785420520791</v>
      </c>
      <c r="E13" s="18">
        <f t="shared" si="2"/>
        <v>4276.2380560694392</v>
      </c>
      <c r="F13" s="18">
        <f t="shared" si="3"/>
        <v>12828.714168208317</v>
      </c>
      <c r="G13" s="18">
        <f t="shared" si="4"/>
        <v>38486.14250462495</v>
      </c>
      <c r="H13" s="18">
        <f t="shared" si="5"/>
        <v>51314.856672833266</v>
      </c>
      <c r="I13" s="27">
        <f t="shared" si="6"/>
        <v>2.9289473017137461E-2</v>
      </c>
    </row>
    <row r="14" spans="2:250" ht="16.5" customHeight="1">
      <c r="B14" s="16" t="str">
        <f>'Base Maringá'!B10</f>
        <v>APS COLORADO</v>
      </c>
      <c r="C14" s="18">
        <f>'Base Maringá'!AO10</f>
        <v>1086.9803336706698</v>
      </c>
      <c r="D14" s="18">
        <f t="shared" si="1"/>
        <v>3260.9410010120091</v>
      </c>
      <c r="E14" s="18">
        <f t="shared" si="2"/>
        <v>4347.9213346826791</v>
      </c>
      <c r="F14" s="18">
        <f t="shared" si="3"/>
        <v>13043.764004048036</v>
      </c>
      <c r="G14" s="18">
        <f t="shared" si="4"/>
        <v>39131.292012144113</v>
      </c>
      <c r="H14" s="18">
        <f t="shared" si="5"/>
        <v>52175.056016192146</v>
      </c>
      <c r="I14" s="27">
        <f t="shared" si="6"/>
        <v>2.9780457248415802E-2</v>
      </c>
    </row>
    <row r="15" spans="2:250" ht="16.5" customHeight="1">
      <c r="B15" s="16" t="str">
        <f>'Base Maringá'!B11</f>
        <v>APS CRUZEIRO DO OESTE</v>
      </c>
      <c r="C15" s="18">
        <f>'Base Maringá'!AO11</f>
        <v>1263.658338499082</v>
      </c>
      <c r="D15" s="18">
        <f t="shared" si="1"/>
        <v>3790.9750154972462</v>
      </c>
      <c r="E15" s="18">
        <f t="shared" si="2"/>
        <v>5054.633353996328</v>
      </c>
      <c r="F15" s="18">
        <f t="shared" si="3"/>
        <v>15163.900061988985</v>
      </c>
      <c r="G15" s="18">
        <f t="shared" si="4"/>
        <v>45491.700185966954</v>
      </c>
      <c r="H15" s="18">
        <f t="shared" si="5"/>
        <v>60655.600247955939</v>
      </c>
      <c r="I15" s="27">
        <f t="shared" si="6"/>
        <v>3.4620978835186354E-2</v>
      </c>
    </row>
    <row r="16" spans="2:250" ht="16.5" customHeight="1">
      <c r="B16" s="16" t="str">
        <f>'Base Maringá'!B12</f>
        <v>APS LOANDA</v>
      </c>
      <c r="C16" s="18">
        <f>'Base Maringá'!AO12</f>
        <v>1229.6738961544315</v>
      </c>
      <c r="D16" s="18">
        <f t="shared" si="1"/>
        <v>3689.0216884632946</v>
      </c>
      <c r="E16" s="18">
        <f t="shared" si="2"/>
        <v>4918.6955846177261</v>
      </c>
      <c r="F16" s="18">
        <f t="shared" si="3"/>
        <v>14756.086753853178</v>
      </c>
      <c r="G16" s="18">
        <f t="shared" si="4"/>
        <v>44268.260261559539</v>
      </c>
      <c r="H16" s="18">
        <f t="shared" si="5"/>
        <v>59024.347015412714</v>
      </c>
      <c r="I16" s="27">
        <f t="shared" si="6"/>
        <v>3.3689892778699569E-2</v>
      </c>
    </row>
    <row r="17" spans="2:9" ht="16.5" customHeight="1">
      <c r="B17" s="16" t="str">
        <f>'Base Maringá'!B13</f>
        <v>APS MANDAGUARI</v>
      </c>
      <c r="C17" s="18">
        <f>'Base Maringá'!AO13</f>
        <v>988.41582557746472</v>
      </c>
      <c r="D17" s="18">
        <f t="shared" si="1"/>
        <v>2965.2474767323943</v>
      </c>
      <c r="E17" s="18">
        <f t="shared" si="2"/>
        <v>3953.6633023098589</v>
      </c>
      <c r="F17" s="18">
        <f t="shared" si="3"/>
        <v>11860.989906929577</v>
      </c>
      <c r="G17" s="18">
        <f t="shared" si="4"/>
        <v>35582.969720788729</v>
      </c>
      <c r="H17" s="18">
        <f t="shared" si="5"/>
        <v>47443.959627718308</v>
      </c>
      <c r="I17" s="27">
        <f t="shared" si="6"/>
        <v>2.7080043976384929E-2</v>
      </c>
    </row>
    <row r="18" spans="2:9" ht="16.5" customHeight="1">
      <c r="B18" s="16" t="str">
        <f>'Base Maringá'!B14</f>
        <v>APS NOVA ESPERANÇA</v>
      </c>
      <c r="C18" s="18">
        <f>'Base Maringá'!AO14</f>
        <v>1075.4541539951917</v>
      </c>
      <c r="D18" s="18">
        <f t="shared" si="1"/>
        <v>3226.3624619855755</v>
      </c>
      <c r="E18" s="18">
        <f t="shared" si="2"/>
        <v>4301.816615980767</v>
      </c>
      <c r="F18" s="18">
        <f t="shared" si="3"/>
        <v>12905.449847942302</v>
      </c>
      <c r="G18" s="18">
        <f t="shared" si="4"/>
        <v>38716.349543826902</v>
      </c>
      <c r="H18" s="18">
        <f t="shared" si="5"/>
        <v>51621.799391769207</v>
      </c>
      <c r="I18" s="27">
        <f t="shared" si="6"/>
        <v>2.9464669657389225E-2</v>
      </c>
    </row>
    <row r="19" spans="2:9" ht="16.5" customHeight="1">
      <c r="B19" s="16" t="str">
        <f>'Base Maringá'!B15</f>
        <v>APS PAIÇANDU</v>
      </c>
      <c r="C19" s="18">
        <f>'Base Maringá'!AO15</f>
        <v>1069.0595140173598</v>
      </c>
      <c r="D19" s="18">
        <f t="shared" si="1"/>
        <v>3207.1785420520791</v>
      </c>
      <c r="E19" s="18">
        <f t="shared" si="2"/>
        <v>4276.2380560694392</v>
      </c>
      <c r="F19" s="18">
        <f t="shared" si="3"/>
        <v>12828.714168208317</v>
      </c>
      <c r="G19" s="18">
        <f t="shared" si="4"/>
        <v>38486.14250462495</v>
      </c>
      <c r="H19" s="18">
        <f t="shared" si="5"/>
        <v>51314.856672833266</v>
      </c>
      <c r="I19" s="27">
        <f t="shared" si="6"/>
        <v>2.9289473017137461E-2</v>
      </c>
    </row>
    <row r="20" spans="2:9" ht="16.5" customHeight="1">
      <c r="B20" s="16" t="str">
        <f>'Base Maringá'!B16</f>
        <v>APS PARANAVAÍ</v>
      </c>
      <c r="C20" s="18">
        <f>'Base Maringá'!AO16</f>
        <v>1697.9556979585157</v>
      </c>
      <c r="D20" s="18">
        <f t="shared" si="1"/>
        <v>5093.8670938755467</v>
      </c>
      <c r="E20" s="18">
        <f t="shared" si="2"/>
        <v>6791.8227918340626</v>
      </c>
      <c r="F20" s="18">
        <f t="shared" si="3"/>
        <v>20375.468375502187</v>
      </c>
      <c r="G20" s="18">
        <f t="shared" si="4"/>
        <v>61126.405126506565</v>
      </c>
      <c r="H20" s="18">
        <f t="shared" si="5"/>
        <v>81501.873502008748</v>
      </c>
      <c r="I20" s="27">
        <f t="shared" si="6"/>
        <v>4.6519606202993093E-2</v>
      </c>
    </row>
    <row r="21" spans="2:9" ht="16.5" customHeight="1">
      <c r="B21" s="16" t="str">
        <f>'Base Maringá'!B17</f>
        <v>APS UMUARAMA</v>
      </c>
      <c r="C21" s="18">
        <f>'Base Maringá'!AO17</f>
        <v>2429.4940848362176</v>
      </c>
      <c r="D21" s="18">
        <f t="shared" si="1"/>
        <v>7288.4822545086527</v>
      </c>
      <c r="E21" s="18">
        <f t="shared" si="2"/>
        <v>9717.9763393448702</v>
      </c>
      <c r="F21" s="18">
        <f t="shared" si="3"/>
        <v>29153.929018034611</v>
      </c>
      <c r="G21" s="18">
        <f t="shared" si="4"/>
        <v>87461.787054103828</v>
      </c>
      <c r="H21" s="18">
        <f t="shared" si="5"/>
        <v>116615.71607213844</v>
      </c>
      <c r="I21" s="27">
        <f t="shared" si="6"/>
        <v>6.6561870981066792E-2</v>
      </c>
    </row>
    <row r="22" spans="2:9" ht="16.5" customHeight="1">
      <c r="B22" s="16" t="str">
        <f>'Base Maringá'!B18</f>
        <v>CEDOCPREV MARINGÁ</v>
      </c>
      <c r="C22" s="18">
        <f>'Base Maringá'!AO18</f>
        <v>1279.4860110366701</v>
      </c>
      <c r="D22" s="18">
        <f t="shared" si="1"/>
        <v>3838.4580331100105</v>
      </c>
      <c r="E22" s="18">
        <f t="shared" si="2"/>
        <v>5117.9440441466804</v>
      </c>
      <c r="F22" s="18">
        <f t="shared" si="3"/>
        <v>15353.832132440042</v>
      </c>
      <c r="G22" s="18">
        <f t="shared" si="4"/>
        <v>46061.496397320123</v>
      </c>
      <c r="H22" s="18">
        <f t="shared" si="5"/>
        <v>61415.328529760169</v>
      </c>
      <c r="I22" s="27">
        <f t="shared" si="6"/>
        <v>3.5054616234821569E-2</v>
      </c>
    </row>
    <row r="23" spans="2:9" ht="16.5" customHeight="1">
      <c r="B23" s="16" t="str">
        <f>'Base Maringá'!B19</f>
        <v>GEX/APS MARINGÁ</v>
      </c>
      <c r="C23" s="18">
        <f>'Base Maringá'!AO19</f>
        <v>2078.543727489016</v>
      </c>
      <c r="D23" s="18">
        <f t="shared" si="1"/>
        <v>6235.6311824670483</v>
      </c>
      <c r="E23" s="18">
        <f t="shared" si="2"/>
        <v>8314.1749099560639</v>
      </c>
      <c r="F23" s="18">
        <f t="shared" si="3"/>
        <v>24942.524729868193</v>
      </c>
      <c r="G23" s="18">
        <f t="shared" si="4"/>
        <v>74827.57418960458</v>
      </c>
      <c r="H23" s="18">
        <f t="shared" si="5"/>
        <v>99770.098919472774</v>
      </c>
      <c r="I23" s="27">
        <f t="shared" si="6"/>
        <v>5.6946736475366404E-2</v>
      </c>
    </row>
    <row r="24" spans="2:9" ht="22.5" customHeight="1">
      <c r="B24" s="28" t="str">
        <f>"Total Base "&amp;B5</f>
        <v>Total Base MARINGÁ</v>
      </c>
      <c r="C24" s="28">
        <f t="shared" ref="C24:I24" si="7">SUM(C11:C23)</f>
        <v>18384.744537057555</v>
      </c>
      <c r="D24" s="28">
        <f t="shared" si="7"/>
        <v>55154.233611172669</v>
      </c>
      <c r="E24" s="28">
        <f t="shared" si="7"/>
        <v>73538.978148230221</v>
      </c>
      <c r="F24" s="28">
        <f t="shared" si="7"/>
        <v>220616.93444469068</v>
      </c>
      <c r="G24" s="28">
        <f t="shared" si="7"/>
        <v>661850.80333407212</v>
      </c>
      <c r="H24" s="28">
        <f t="shared" si="7"/>
        <v>882467.7377787627</v>
      </c>
      <c r="I24" s="29">
        <f t="shared" si="7"/>
        <v>0.50369457638666948</v>
      </c>
    </row>
    <row r="25" spans="2:9" ht="22.5" customHeight="1">
      <c r="B25" s="30"/>
      <c r="C25" s="30"/>
      <c r="D25" s="30"/>
      <c r="E25" s="30"/>
      <c r="F25" s="30"/>
      <c r="G25" s="30"/>
      <c r="H25" s="30"/>
      <c r="I25" s="31"/>
    </row>
    <row r="26" spans="2:9" ht="27" customHeight="1">
      <c r="B26" s="192" t="str">
        <f>"BASE "&amp;B6</f>
        <v>BASE CASCAVEL</v>
      </c>
      <c r="C26" s="193" t="s">
        <v>22</v>
      </c>
      <c r="D26" s="193"/>
      <c r="E26" s="193"/>
      <c r="F26" s="193" t="s">
        <v>23</v>
      </c>
      <c r="G26" s="193"/>
      <c r="H26" s="193"/>
      <c r="I26" s="2" t="s">
        <v>24</v>
      </c>
    </row>
    <row r="27" spans="2:9" ht="22.5" customHeight="1">
      <c r="B27" s="192"/>
      <c r="C27" s="25" t="s">
        <v>25</v>
      </c>
      <c r="D27" s="25" t="s">
        <v>26</v>
      </c>
      <c r="E27" s="25" t="s">
        <v>27</v>
      </c>
      <c r="F27" s="26" t="s">
        <v>25</v>
      </c>
      <c r="G27" s="26" t="s">
        <v>26</v>
      </c>
      <c r="H27" s="26" t="s">
        <v>27</v>
      </c>
      <c r="I27" s="26" t="s">
        <v>28</v>
      </c>
    </row>
    <row r="28" spans="2:9" ht="16.5" customHeight="1">
      <c r="B28" s="16" t="str">
        <f>'Base Cascavel'!B7</f>
        <v>APS GOIOERÊ</v>
      </c>
      <c r="C28" s="18">
        <f>'Base Cascavel'!AO7</f>
        <v>1503.3075722577962</v>
      </c>
      <c r="D28" s="18">
        <f t="shared" ref="D28:D39" si="8">C28*3</f>
        <v>4509.9227167733889</v>
      </c>
      <c r="E28" s="18">
        <f t="shared" ref="E28:E39" si="9">C28+D28</f>
        <v>6013.2302890311848</v>
      </c>
      <c r="F28" s="18">
        <f t="shared" ref="F28:F39" si="10">C28*12</f>
        <v>18039.690867093555</v>
      </c>
      <c r="G28" s="18">
        <f t="shared" ref="G28:G39" si="11">F28*3</f>
        <v>54119.07260128067</v>
      </c>
      <c r="H28" s="18">
        <f t="shared" ref="H28:H39" si="12">F28+G28</f>
        <v>72158.763468374222</v>
      </c>
      <c r="I28" s="27">
        <f t="shared" ref="I28:I39" si="13">F28/$E$7</f>
        <v>4.1186749658717464E-2</v>
      </c>
    </row>
    <row r="29" spans="2:9" ht="16.5" customHeight="1">
      <c r="B29" s="16" t="str">
        <f>'Base Cascavel'!B8</f>
        <v>GEX CASCAVEL</v>
      </c>
      <c r="C29" s="18">
        <f>'Base Cascavel'!AO8</f>
        <v>1338.0539868870917</v>
      </c>
      <c r="D29" s="18">
        <f t="shared" si="8"/>
        <v>4014.1619606612749</v>
      </c>
      <c r="E29" s="18">
        <f t="shared" si="9"/>
        <v>5352.2159475483668</v>
      </c>
      <c r="F29" s="18">
        <f t="shared" si="10"/>
        <v>16056.647842645099</v>
      </c>
      <c r="G29" s="18">
        <f t="shared" si="11"/>
        <v>48169.943527935298</v>
      </c>
      <c r="H29" s="18">
        <f t="shared" si="12"/>
        <v>64226.591370580398</v>
      </c>
      <c r="I29" s="27">
        <f t="shared" si="13"/>
        <v>3.665922769549973E-2</v>
      </c>
    </row>
    <row r="30" spans="2:9" ht="16.5" customHeight="1">
      <c r="B30" s="16" t="str">
        <f>'Base Cascavel'!B9</f>
        <v>APS CASCAVEL</v>
      </c>
      <c r="C30" s="18">
        <f>'Base Cascavel'!AO9</f>
        <v>2089.0888592290025</v>
      </c>
      <c r="D30" s="18">
        <f t="shared" si="8"/>
        <v>6267.2665776870072</v>
      </c>
      <c r="E30" s="18">
        <f t="shared" si="9"/>
        <v>8356.3554369160101</v>
      </c>
      <c r="F30" s="18">
        <f t="shared" si="10"/>
        <v>25069.066310748029</v>
      </c>
      <c r="G30" s="18">
        <f t="shared" si="11"/>
        <v>75207.198932244093</v>
      </c>
      <c r="H30" s="18">
        <f t="shared" si="12"/>
        <v>100276.26524299211</v>
      </c>
      <c r="I30" s="27">
        <f t="shared" si="13"/>
        <v>5.7235645883599286E-2</v>
      </c>
    </row>
    <row r="31" spans="2:9" ht="16.5" customHeight="1">
      <c r="B31" s="16" t="str">
        <f>'Base Cascavel'!B10</f>
        <v>APS TOLEDO</v>
      </c>
      <c r="C31" s="18">
        <f>'Base Cascavel'!AO10</f>
        <v>1695.6883384828477</v>
      </c>
      <c r="D31" s="18">
        <f t="shared" si="8"/>
        <v>5087.0650154485429</v>
      </c>
      <c r="E31" s="18">
        <f t="shared" si="9"/>
        <v>6782.7533539313908</v>
      </c>
      <c r="F31" s="18">
        <f t="shared" si="10"/>
        <v>20348.260061794172</v>
      </c>
      <c r="G31" s="18">
        <f t="shared" si="11"/>
        <v>61044.780185382515</v>
      </c>
      <c r="H31" s="18">
        <f t="shared" si="12"/>
        <v>81393.040247176687</v>
      </c>
      <c r="I31" s="27">
        <f t="shared" si="13"/>
        <v>4.6457486402072777E-2</v>
      </c>
    </row>
    <row r="32" spans="2:9" ht="16.5" customHeight="1">
      <c r="B32" s="16" t="str">
        <f>'Base Cascavel'!B11</f>
        <v>APS MARECHAL CÂNDIDO RONDON</v>
      </c>
      <c r="C32" s="18">
        <f>'Base Cascavel'!AO11</f>
        <v>1066.0965938137097</v>
      </c>
      <c r="D32" s="18">
        <f t="shared" si="8"/>
        <v>3198.289781441129</v>
      </c>
      <c r="E32" s="18">
        <f t="shared" si="9"/>
        <v>4264.3863752548386</v>
      </c>
      <c r="F32" s="18">
        <f t="shared" si="10"/>
        <v>12793.159125764516</v>
      </c>
      <c r="G32" s="18">
        <f t="shared" si="11"/>
        <v>38379.477377293544</v>
      </c>
      <c r="H32" s="18">
        <f t="shared" si="12"/>
        <v>51172.636503058064</v>
      </c>
      <c r="I32" s="27">
        <f t="shared" si="13"/>
        <v>2.9208296646487501E-2</v>
      </c>
    </row>
    <row r="33" spans="2:9" ht="16.5" customHeight="1">
      <c r="B33" s="16" t="str">
        <f>'Base Cascavel'!B12</f>
        <v>APS ASSIS CHATEAUBRIAND</v>
      </c>
      <c r="C33" s="18">
        <f>'Base Cascavel'!AO12</f>
        <v>1194.8370744472084</v>
      </c>
      <c r="D33" s="18">
        <f t="shared" si="8"/>
        <v>3584.5112233416248</v>
      </c>
      <c r="E33" s="18">
        <f t="shared" si="9"/>
        <v>4779.3482977888334</v>
      </c>
      <c r="F33" s="18">
        <f t="shared" si="10"/>
        <v>14338.044893366499</v>
      </c>
      <c r="G33" s="18">
        <f t="shared" si="11"/>
        <v>43014.134680099494</v>
      </c>
      <c r="H33" s="18">
        <f t="shared" si="12"/>
        <v>57352.179573465997</v>
      </c>
      <c r="I33" s="27">
        <f t="shared" si="13"/>
        <v>3.2735453726413115E-2</v>
      </c>
    </row>
    <row r="34" spans="2:9" ht="16.5" customHeight="1">
      <c r="B34" s="16" t="str">
        <f>'Base Cascavel'!B13</f>
        <v>APS PALOTINA</v>
      </c>
      <c r="C34" s="18">
        <f>'Base Cascavel'!AO13</f>
        <v>1225.1543281996699</v>
      </c>
      <c r="D34" s="18">
        <f t="shared" si="8"/>
        <v>3675.4629845990094</v>
      </c>
      <c r="E34" s="18">
        <f t="shared" si="9"/>
        <v>4900.6173127986794</v>
      </c>
      <c r="F34" s="18">
        <f t="shared" si="10"/>
        <v>14701.851938396037</v>
      </c>
      <c r="G34" s="18">
        <f t="shared" si="11"/>
        <v>44105.555815188112</v>
      </c>
      <c r="H34" s="18">
        <f t="shared" si="12"/>
        <v>58807.40775358415</v>
      </c>
      <c r="I34" s="27">
        <f t="shared" si="13"/>
        <v>3.3566068275082676E-2</v>
      </c>
    </row>
    <row r="35" spans="2:9" ht="16.5" customHeight="1">
      <c r="B35" s="16" t="str">
        <f>'Base Cascavel'!B14</f>
        <v>APS GUAÍRA</v>
      </c>
      <c r="C35" s="18">
        <f>'Base Cascavel'!AO14</f>
        <v>1381.5382489927188</v>
      </c>
      <c r="D35" s="18">
        <f t="shared" si="8"/>
        <v>4144.6147469781563</v>
      </c>
      <c r="E35" s="18">
        <f t="shared" si="9"/>
        <v>5526.1529959708751</v>
      </c>
      <c r="F35" s="18">
        <f t="shared" si="10"/>
        <v>16578.458987912625</v>
      </c>
      <c r="G35" s="18">
        <f t="shared" si="11"/>
        <v>49735.376963737872</v>
      </c>
      <c r="H35" s="18">
        <f t="shared" si="12"/>
        <v>66313.835951650501</v>
      </c>
      <c r="I35" s="27">
        <f t="shared" si="13"/>
        <v>3.7850584308404087E-2</v>
      </c>
    </row>
    <row r="36" spans="2:9" ht="16.5" customHeight="1">
      <c r="B36" s="16" t="str">
        <f>'Base Cascavel'!B15</f>
        <v>APS MEDIANEIRA</v>
      </c>
      <c r="C36" s="18">
        <f>'Base Cascavel'!AO15</f>
        <v>1393.4112216898548</v>
      </c>
      <c r="D36" s="18">
        <f t="shared" si="8"/>
        <v>4180.2336650695643</v>
      </c>
      <c r="E36" s="18">
        <f t="shared" si="9"/>
        <v>5573.644886759419</v>
      </c>
      <c r="F36" s="18">
        <f t="shared" si="10"/>
        <v>16720.934660278257</v>
      </c>
      <c r="G36" s="18">
        <f t="shared" si="11"/>
        <v>50162.803980834768</v>
      </c>
      <c r="H36" s="18">
        <f t="shared" si="12"/>
        <v>66883.738641113028</v>
      </c>
      <c r="I36" s="27">
        <f t="shared" si="13"/>
        <v>3.8175873133662441E-2</v>
      </c>
    </row>
    <row r="37" spans="2:9" ht="16.5" customHeight="1">
      <c r="B37" s="16" t="str">
        <f>'Base Cascavel'!B16</f>
        <v>APS SÃO MIGUEL DO IGUAÇU</v>
      </c>
      <c r="C37" s="18">
        <f>'Base Cascavel'!AO16</f>
        <v>1102.3410362306502</v>
      </c>
      <c r="D37" s="18">
        <f t="shared" si="8"/>
        <v>3307.0231086919503</v>
      </c>
      <c r="E37" s="18">
        <f t="shared" si="9"/>
        <v>4409.3641449226006</v>
      </c>
      <c r="F37" s="18">
        <f t="shared" si="10"/>
        <v>13228.092434767801</v>
      </c>
      <c r="G37" s="18">
        <f t="shared" si="11"/>
        <v>39684.277304303403</v>
      </c>
      <c r="H37" s="18">
        <f t="shared" si="12"/>
        <v>52912.369739071204</v>
      </c>
      <c r="I37" s="27">
        <f t="shared" si="13"/>
        <v>3.0201300875225819E-2</v>
      </c>
    </row>
    <row r="38" spans="2:9" ht="16.5" customHeight="1">
      <c r="B38" s="16" t="str">
        <f>'Base Cascavel'!B17</f>
        <v>APS FOZ DO IGUAÇU</v>
      </c>
      <c r="C38" s="18">
        <f>'Base Cascavel'!AO17</f>
        <v>2727.1169501652607</v>
      </c>
      <c r="D38" s="18">
        <f t="shared" si="8"/>
        <v>8181.3508504957827</v>
      </c>
      <c r="E38" s="18">
        <f t="shared" si="9"/>
        <v>10908.467800661043</v>
      </c>
      <c r="F38" s="18">
        <f t="shared" si="10"/>
        <v>32725.403401983131</v>
      </c>
      <c r="G38" s="18">
        <f t="shared" si="11"/>
        <v>98176.210205949392</v>
      </c>
      <c r="H38" s="18">
        <f t="shared" si="12"/>
        <v>130901.61360793252</v>
      </c>
      <c r="I38" s="27">
        <f t="shared" si="13"/>
        <v>7.4715969765128135E-2</v>
      </c>
    </row>
    <row r="39" spans="2:9" ht="16.5" customHeight="1">
      <c r="B39" s="16" t="str">
        <f>'Base Cascavel'!B18</f>
        <v>APS QUEDAS DO IGUAÇU</v>
      </c>
      <c r="C39" s="18">
        <f>'Base Cascavel'!AO18</f>
        <v>1398.4078274654041</v>
      </c>
      <c r="D39" s="18">
        <f t="shared" si="8"/>
        <v>4195.2234823962126</v>
      </c>
      <c r="E39" s="18">
        <f t="shared" si="9"/>
        <v>5593.6313098616165</v>
      </c>
      <c r="F39" s="18">
        <f t="shared" si="10"/>
        <v>16780.89392958485</v>
      </c>
      <c r="G39" s="18">
        <f t="shared" si="11"/>
        <v>50342.681788754548</v>
      </c>
      <c r="H39" s="18">
        <f t="shared" si="12"/>
        <v>67123.575718339402</v>
      </c>
      <c r="I39" s="27">
        <f t="shared" si="13"/>
        <v>3.8312767243037393E-2</v>
      </c>
    </row>
    <row r="40" spans="2:9" ht="22.5" customHeight="1">
      <c r="B40" s="28" t="str">
        <f>"Total Base "&amp;B6</f>
        <v>Total Base CASCAVEL</v>
      </c>
      <c r="C40" s="28">
        <f t="shared" ref="C40:I40" si="14">SUM(C28:C39)</f>
        <v>18115.042037861214</v>
      </c>
      <c r="D40" s="28">
        <f t="shared" si="14"/>
        <v>54345.126113583647</v>
      </c>
      <c r="E40" s="28">
        <f t="shared" si="14"/>
        <v>72460.168151444857</v>
      </c>
      <c r="F40" s="28">
        <f t="shared" si="14"/>
        <v>217380.50445433459</v>
      </c>
      <c r="G40" s="28">
        <f t="shared" si="14"/>
        <v>652141.51336300373</v>
      </c>
      <c r="H40" s="28">
        <f t="shared" si="14"/>
        <v>869522.01781733835</v>
      </c>
      <c r="I40" s="29">
        <f t="shared" si="14"/>
        <v>0.49630542361333041</v>
      </c>
    </row>
  </sheetData>
  <mergeCells count="7">
    <mergeCell ref="B2:I2"/>
    <mergeCell ref="B9:B10"/>
    <mergeCell ref="C9:E9"/>
    <mergeCell ref="F9:H9"/>
    <mergeCell ref="B26:B27"/>
    <mergeCell ref="C26:E26"/>
    <mergeCell ref="F26:H26"/>
  </mergeCells>
  <printOptions horizontalCentered="1"/>
  <pageMargins left="0.15069444444444399" right="7.2916666666666699E-2" top="0.13750000000000001" bottom="8.2638888888888901E-2" header="0.511811023622047" footer="0.511811023622047"/>
  <pageSetup paperSize="9" pageOrder="overThenDown" orientation="portrait" useFirstPageNumber="1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79998168889431442"/>
  </sheetPr>
  <dimension ref="B1:IW65527"/>
  <sheetViews>
    <sheetView showGridLines="0" zoomScale="110" zoomScaleNormal="110" workbookViewId="0">
      <selection activeCell="I15" sqref="I15"/>
    </sheetView>
  </sheetViews>
  <sheetFormatPr defaultColWidth="10.5" defaultRowHeight="14.25"/>
  <cols>
    <col min="1" max="1" width="5.625" customWidth="1"/>
    <col min="2" max="2" width="21.625" customWidth="1"/>
    <col min="3" max="5" width="14.625" style="3" customWidth="1"/>
    <col min="6" max="6" width="13.5" style="3" customWidth="1"/>
    <col min="7" max="7" width="12.5" style="3" customWidth="1"/>
    <col min="8" max="257" width="10.625" style="3" customWidth="1"/>
  </cols>
  <sheetData>
    <row r="1" spans="2:5" ht="15" customHeight="1"/>
    <row r="2" spans="2:5" ht="24.75" customHeight="1">
      <c r="B2" s="194" t="str">
        <f>"CÁLCULO DO CUSTO DA EQUIPE TÉCNICA PARA O "&amp;'Valor da Contratação'!B7&amp;""</f>
        <v>CÁLCULO DO CUSTO DA EQUIPE TÉCNICA PARA O POLO I</v>
      </c>
      <c r="C2" s="194"/>
      <c r="D2" s="194"/>
      <c r="E2" s="194"/>
    </row>
    <row r="3" spans="2:5" ht="15" customHeight="1">
      <c r="B3" s="32"/>
      <c r="C3" s="32"/>
      <c r="D3" s="32"/>
      <c r="E3" s="32"/>
    </row>
    <row r="4" spans="2:5" ht="45.75" customHeight="1">
      <c r="B4" s="195" t="s">
        <v>29</v>
      </c>
      <c r="C4" s="1" t="s">
        <v>30</v>
      </c>
      <c r="D4" s="1" t="s">
        <v>31</v>
      </c>
      <c r="E4" s="1" t="s">
        <v>32</v>
      </c>
    </row>
    <row r="5" spans="2:5" ht="19.5" customHeight="1">
      <c r="B5" s="195"/>
      <c r="C5" s="33">
        <v>145.94</v>
      </c>
      <c r="D5" s="33">
        <f>'Comp. Eng. Eletricista'!D11</f>
        <v>141.48376579570004</v>
      </c>
      <c r="E5" s="33">
        <v>47.55</v>
      </c>
    </row>
    <row r="6" spans="2:5" ht="19.5" customHeight="1">
      <c r="B6" s="34" t="s">
        <v>33</v>
      </c>
      <c r="C6" s="35">
        <v>80</v>
      </c>
      <c r="D6" s="35">
        <v>16</v>
      </c>
      <c r="E6" s="35">
        <v>80</v>
      </c>
    </row>
    <row r="7" spans="2:5" ht="19.5" customHeight="1">
      <c r="B7" s="34" t="s">
        <v>34</v>
      </c>
      <c r="C7" s="33">
        <f>C5*C6</f>
        <v>11675.2</v>
      </c>
      <c r="D7" s="33">
        <f>D5*D6</f>
        <v>2263.7402527312006</v>
      </c>
      <c r="E7" s="33">
        <f>E5*E6</f>
        <v>3804</v>
      </c>
    </row>
    <row r="8" spans="2:5" ht="19.5" customHeight="1">
      <c r="B8" s="34" t="s">
        <v>35</v>
      </c>
      <c r="C8" s="33">
        <f>C5*C6*12</f>
        <v>140102.40000000002</v>
      </c>
      <c r="D8" s="33">
        <f>D5*D6*12</f>
        <v>27164.883032774407</v>
      </c>
      <c r="E8" s="33">
        <f>E5*E6*12</f>
        <v>45648</v>
      </c>
    </row>
    <row r="9" spans="2:5" ht="19.5" customHeight="1">
      <c r="B9" s="36" t="s">
        <v>36</v>
      </c>
      <c r="C9" s="37"/>
      <c r="D9" s="37"/>
      <c r="E9" s="37"/>
    </row>
    <row r="10" spans="2:5" ht="19.5" customHeight="1">
      <c r="C10" s="37"/>
      <c r="D10" s="37"/>
      <c r="E10" s="37"/>
    </row>
    <row r="11" spans="2:5" ht="19.5" customHeight="1">
      <c r="B11" s="195" t="s">
        <v>37</v>
      </c>
      <c r="C11" s="195"/>
      <c r="E11" s="37"/>
    </row>
    <row r="12" spans="2:5" ht="19.5" customHeight="1">
      <c r="B12" s="34" t="s">
        <v>38</v>
      </c>
      <c r="C12" s="33">
        <f>SUM(C7:E7)</f>
        <v>17742.940252731201</v>
      </c>
      <c r="E12" s="37"/>
    </row>
    <row r="13" spans="2:5" ht="19.5" customHeight="1">
      <c r="B13" s="34" t="s">
        <v>39</v>
      </c>
      <c r="C13" s="33">
        <f>SUM(C8:E8)</f>
        <v>212915.28303277443</v>
      </c>
    </row>
    <row r="65527" ht="12.75" customHeight="1"/>
  </sheetData>
  <mergeCells count="3">
    <mergeCell ref="B2:E2"/>
    <mergeCell ref="B4:B5"/>
    <mergeCell ref="B11:C11"/>
  </mergeCells>
  <printOptions horizontalCentered="1"/>
  <pageMargins left="0.78749999999999998" right="0.78749999999999998" top="0.47777777777777802" bottom="0.196527777777778" header="0.511811023622047" footer="0.511811023622047"/>
  <pageSetup paperSize="9" pageOrder="overThenDown" orientation="portrait" useFirstPageNumber="1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79998168889431442"/>
  </sheetPr>
  <dimension ref="B1:IV25"/>
  <sheetViews>
    <sheetView showGridLines="0" zoomScale="110" zoomScaleNormal="110" workbookViewId="0">
      <selection activeCell="I22" sqref="I22"/>
    </sheetView>
  </sheetViews>
  <sheetFormatPr defaultColWidth="10.5" defaultRowHeight="14.25"/>
  <cols>
    <col min="1" max="1" width="5.625" customWidth="1"/>
    <col min="2" max="2" width="33.625" style="11" customWidth="1"/>
    <col min="3" max="15" width="12.625" style="11" customWidth="1"/>
    <col min="16" max="16" width="8.375" style="11" customWidth="1"/>
    <col min="17" max="17" width="33" style="11" customWidth="1"/>
    <col min="18" max="33" width="11.5" style="11" customWidth="1"/>
    <col min="34" max="34" width="11" style="11" customWidth="1"/>
    <col min="35" max="35" width="33" style="11" customWidth="1"/>
    <col min="36" max="36" width="10.625" style="11" customWidth="1"/>
    <col min="37" max="40" width="11.75" style="11" customWidth="1"/>
    <col min="41" max="41" width="11.375" style="11" customWidth="1"/>
    <col min="42" max="43" width="12.875" style="11" customWidth="1"/>
    <col min="44" max="44" width="3.375" style="11" customWidth="1"/>
    <col min="45" max="45" width="28.125" style="11" customWidth="1"/>
    <col min="46" max="46" width="12.75" style="11" customWidth="1"/>
    <col min="47" max="49" width="11.75" style="11" customWidth="1"/>
    <col min="50" max="256" width="10.625" style="11" customWidth="1"/>
    <col min="1013" max="1024" width="8.5" customWidth="1"/>
  </cols>
  <sheetData>
    <row r="1" spans="2:49" ht="15" customHeight="1"/>
    <row r="2" spans="2:49" s="38" customFormat="1" ht="24.75" customHeight="1">
      <c r="B2" s="202" t="str">
        <f>"BASE "&amp;Resumo!B5&amp;" - PLANILHA DE FORMAÇÃO DE PREÇOS"</f>
        <v>BASE MARINGÁ - PLANILHA DE FORMAÇÃO DE PREÇOS</v>
      </c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39"/>
      <c r="Q2" s="194" t="str">
        <f>"BASE "&amp;Resumo!B5&amp;" – PLANILHA DE DISTRIBUIÇÃO DE CUSTOS POR UNIDADE"</f>
        <v>BASE MARINGÁ – PLANILHA DE DISTRIBUIÇÃO DE CUSTOS POR UNIDADE</v>
      </c>
      <c r="R2" s="194"/>
      <c r="S2" s="194"/>
      <c r="T2" s="194"/>
      <c r="U2" s="194"/>
      <c r="V2" s="194"/>
      <c r="W2" s="194"/>
      <c r="X2" s="194"/>
      <c r="Y2" s="194"/>
      <c r="Z2" s="194"/>
      <c r="AA2" s="194"/>
      <c r="AB2" s="194"/>
      <c r="AC2" s="194"/>
      <c r="AD2" s="194"/>
      <c r="AE2" s="194"/>
      <c r="AF2" s="194"/>
      <c r="AG2" s="194"/>
      <c r="AH2" s="40"/>
      <c r="AI2" s="203" t="str">
        <f>"BASE "&amp;Resumo!B5&amp;" – PLANILHA RESUMO DE CUSTOS DA BASE"</f>
        <v>BASE MARINGÁ – PLANILHA RESUMO DE CUSTOS DA BASE</v>
      </c>
      <c r="AJ2" s="203"/>
      <c r="AK2" s="203"/>
      <c r="AL2" s="203"/>
      <c r="AM2" s="203"/>
      <c r="AN2" s="203"/>
      <c r="AO2" s="203"/>
      <c r="AP2" s="203"/>
      <c r="AQ2" s="203"/>
      <c r="AR2" s="203"/>
      <c r="AS2" s="203"/>
      <c r="AT2" s="203"/>
      <c r="AU2" s="203"/>
      <c r="AV2" s="203"/>
      <c r="AW2" s="203"/>
    </row>
    <row r="3" spans="2:49" ht="15" customHeight="1">
      <c r="B3" s="38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</row>
    <row r="4" spans="2:49" s="24" customFormat="1" ht="19.5" customHeight="1">
      <c r="B4" s="197" t="s">
        <v>40</v>
      </c>
      <c r="C4" s="197" t="s">
        <v>41</v>
      </c>
      <c r="D4" s="197"/>
      <c r="E4" s="197"/>
      <c r="F4" s="197"/>
      <c r="G4" s="197"/>
      <c r="H4" s="197" t="s">
        <v>42</v>
      </c>
      <c r="I4" s="197"/>
      <c r="J4" s="197"/>
      <c r="K4" s="197"/>
      <c r="L4" s="197"/>
      <c r="M4" s="197"/>
      <c r="N4" s="197"/>
      <c r="O4" s="197" t="s">
        <v>27</v>
      </c>
      <c r="P4" s="39"/>
      <c r="Q4" s="197" t="s">
        <v>43</v>
      </c>
      <c r="R4" s="199" t="s">
        <v>44</v>
      </c>
      <c r="S4" s="199"/>
      <c r="T4" s="199"/>
      <c r="U4" s="199"/>
      <c r="V4" s="199" t="s">
        <v>45</v>
      </c>
      <c r="W4" s="199"/>
      <c r="X4" s="199"/>
      <c r="Y4" s="199"/>
      <c r="Z4" s="199" t="s">
        <v>46</v>
      </c>
      <c r="AA4" s="199"/>
      <c r="AB4" s="199"/>
      <c r="AC4" s="199"/>
      <c r="AD4" s="199" t="s">
        <v>47</v>
      </c>
      <c r="AE4" s="199"/>
      <c r="AF4" s="199"/>
      <c r="AG4" s="199"/>
      <c r="AI4" s="197" t="s">
        <v>43</v>
      </c>
      <c r="AJ4" s="204" t="s">
        <v>48</v>
      </c>
      <c r="AK4" s="204"/>
      <c r="AL4" s="204"/>
      <c r="AM4" s="204"/>
      <c r="AN4" s="204"/>
      <c r="AO4" s="204" t="s">
        <v>49</v>
      </c>
      <c r="AP4" s="204"/>
      <c r="AQ4" s="204"/>
      <c r="AR4" s="42"/>
      <c r="AS4" s="204" t="str">
        <f>"Resumo de Custos da Base "&amp;Resumo!B5</f>
        <v>Resumo de Custos da Base MARINGÁ</v>
      </c>
      <c r="AT4" s="204"/>
      <c r="AU4" s="204"/>
      <c r="AV4" s="204"/>
      <c r="AW4" s="204"/>
    </row>
    <row r="5" spans="2:49" ht="39.75" customHeight="1">
      <c r="B5" s="197"/>
      <c r="C5" s="1" t="s">
        <v>27</v>
      </c>
      <c r="D5" s="1" t="s">
        <v>50</v>
      </c>
      <c r="E5" s="1" t="s">
        <v>51</v>
      </c>
      <c r="F5" s="1" t="s">
        <v>52</v>
      </c>
      <c r="G5" s="197" t="s">
        <v>53</v>
      </c>
      <c r="H5" s="1" t="s">
        <v>54</v>
      </c>
      <c r="I5" s="1" t="s">
        <v>55</v>
      </c>
      <c r="J5" s="1" t="s">
        <v>56</v>
      </c>
      <c r="K5" s="1" t="s">
        <v>57</v>
      </c>
      <c r="L5" s="1" t="s">
        <v>58</v>
      </c>
      <c r="M5" s="1" t="s">
        <v>59</v>
      </c>
      <c r="N5" s="197" t="s">
        <v>60</v>
      </c>
      <c r="O5" s="197"/>
      <c r="P5" s="39"/>
      <c r="Q5" s="197"/>
      <c r="R5" s="1" t="s">
        <v>61</v>
      </c>
      <c r="S5" s="1" t="s">
        <v>62</v>
      </c>
      <c r="T5" s="1" t="s">
        <v>63</v>
      </c>
      <c r="U5" s="1" t="s">
        <v>64</v>
      </c>
      <c r="V5" s="197" t="s">
        <v>65</v>
      </c>
      <c r="W5" s="197" t="s">
        <v>66</v>
      </c>
      <c r="X5" s="197" t="s">
        <v>67</v>
      </c>
      <c r="Y5" s="197" t="s">
        <v>68</v>
      </c>
      <c r="Z5" s="197" t="s">
        <v>69</v>
      </c>
      <c r="AA5" s="197"/>
      <c r="AB5" s="197"/>
      <c r="AC5" s="1">
        <f>N20+'Base Cascavel'!N19</f>
        <v>1028.6499999999999</v>
      </c>
      <c r="AD5" s="199" t="s">
        <v>61</v>
      </c>
      <c r="AE5" s="199" t="s">
        <v>62</v>
      </c>
      <c r="AF5" s="199" t="s">
        <v>63</v>
      </c>
      <c r="AG5" s="199" t="s">
        <v>64</v>
      </c>
      <c r="AI5" s="197"/>
      <c r="AJ5" s="199" t="s">
        <v>70</v>
      </c>
      <c r="AK5" s="199" t="s">
        <v>61</v>
      </c>
      <c r="AL5" s="199" t="s">
        <v>62</v>
      </c>
      <c r="AM5" s="199" t="s">
        <v>63</v>
      </c>
      <c r="AN5" s="199" t="s">
        <v>64</v>
      </c>
      <c r="AO5" s="199" t="s">
        <v>71</v>
      </c>
      <c r="AP5" s="200" t="s">
        <v>72</v>
      </c>
      <c r="AQ5" s="199" t="s">
        <v>73</v>
      </c>
      <c r="AR5" s="40"/>
      <c r="AS5" s="199" t="s">
        <v>74</v>
      </c>
      <c r="AT5" s="41" t="s">
        <v>61</v>
      </c>
      <c r="AU5" s="41" t="s">
        <v>62</v>
      </c>
      <c r="AV5" s="41" t="s">
        <v>63</v>
      </c>
      <c r="AW5" s="41" t="s">
        <v>64</v>
      </c>
    </row>
    <row r="6" spans="2:49" ht="19.5" customHeight="1">
      <c r="B6" s="197"/>
      <c r="C6" s="43" t="s">
        <v>75</v>
      </c>
      <c r="D6" s="43">
        <v>1</v>
      </c>
      <c r="E6" s="43">
        <v>0.35</v>
      </c>
      <c r="F6" s="43">
        <v>0.1</v>
      </c>
      <c r="G6" s="197"/>
      <c r="H6" s="43">
        <v>1</v>
      </c>
      <c r="I6" s="43">
        <v>1.2</v>
      </c>
      <c r="J6" s="43">
        <v>2</v>
      </c>
      <c r="K6" s="43">
        <v>4</v>
      </c>
      <c r="L6" s="43">
        <v>1.1000000000000001</v>
      </c>
      <c r="M6" s="43">
        <v>1.1000000000000001</v>
      </c>
      <c r="N6" s="197"/>
      <c r="O6" s="197"/>
      <c r="P6" s="44"/>
      <c r="Q6" s="197"/>
      <c r="R6" s="43" t="s">
        <v>76</v>
      </c>
      <c r="S6" s="43" t="s">
        <v>77</v>
      </c>
      <c r="T6" s="43" t="s">
        <v>78</v>
      </c>
      <c r="U6" s="43" t="s">
        <v>79</v>
      </c>
      <c r="V6" s="197"/>
      <c r="W6" s="197"/>
      <c r="X6" s="197"/>
      <c r="Y6" s="197"/>
      <c r="Z6" s="26" t="s">
        <v>61</v>
      </c>
      <c r="AA6" s="26" t="s">
        <v>62</v>
      </c>
      <c r="AB6" s="26" t="s">
        <v>63</v>
      </c>
      <c r="AC6" s="26" t="s">
        <v>64</v>
      </c>
      <c r="AD6" s="199"/>
      <c r="AE6" s="199"/>
      <c r="AF6" s="199"/>
      <c r="AG6" s="199"/>
      <c r="AI6" s="197"/>
      <c r="AJ6" s="199"/>
      <c r="AK6" s="199"/>
      <c r="AL6" s="199"/>
      <c r="AM6" s="199"/>
      <c r="AN6" s="199"/>
      <c r="AO6" s="199"/>
      <c r="AP6" s="201"/>
      <c r="AQ6" s="199"/>
      <c r="AR6" s="45"/>
      <c r="AS6" s="199"/>
      <c r="AT6" s="26" t="s">
        <v>76</v>
      </c>
      <c r="AU6" s="26" t="s">
        <v>77</v>
      </c>
      <c r="AV6" s="26" t="s">
        <v>78</v>
      </c>
      <c r="AW6" s="26" t="s">
        <v>79</v>
      </c>
    </row>
    <row r="7" spans="2:49" s="3" customFormat="1" ht="15" customHeight="1">
      <c r="B7" s="165" t="s">
        <v>80</v>
      </c>
      <c r="C7" s="47">
        <f>VLOOKUP($B7,Unidades!$D$5:$N$29,6,FALSE())</f>
        <v>334.4</v>
      </c>
      <c r="D7" s="47">
        <f>VLOOKUP($B7,Unidades!$D$5:$N$29,7,FALSE())</f>
        <v>296</v>
      </c>
      <c r="E7" s="47">
        <f>VLOOKUP($B7,Unidades!$D$5:$N$29,8,FALSE())</f>
        <v>38.4</v>
      </c>
      <c r="F7" s="47">
        <f>VLOOKUP($B7,Unidades!$D$5:$N$29,9,FALSE())</f>
        <v>0</v>
      </c>
      <c r="G7" s="47">
        <f t="shared" ref="G7:G19" si="0">D7+E7*$E$6+F7*$F$6</f>
        <v>309.44</v>
      </c>
      <c r="H7" s="48">
        <f t="shared" ref="H7:H19" si="1">IF(G7&lt;750,1.5,IF(G7&lt;2000,2,IF(G7&lt;4000,3,12)))</f>
        <v>1.5</v>
      </c>
      <c r="I7" s="48">
        <f t="shared" ref="I7:I19" si="2">$I$6*H7</f>
        <v>1.7999999999999998</v>
      </c>
      <c r="J7" s="48" t="str">
        <f>VLOOKUP($B7,Unidades!$D$5:$N$29,10,FALSE())</f>
        <v>NÃO</v>
      </c>
      <c r="K7" s="48" t="str">
        <f>VLOOKUP($B7,Unidades!$D$5:$N$29,11,FALSE())</f>
        <v>NÃO</v>
      </c>
      <c r="L7" s="48">
        <f t="shared" ref="L7:L19" si="3">$L$6*H7+(IF(J7="SIM",$J$6,0))</f>
        <v>1.6500000000000001</v>
      </c>
      <c r="M7" s="48">
        <f t="shared" ref="M7:M19" si="4">$M$6*H7+(IF(J7="SIM",$J$6,0))+(IF(K7="SIM",$K$6,0))</f>
        <v>1.6500000000000001</v>
      </c>
      <c r="N7" s="48">
        <f t="shared" ref="N7:N19" si="5">H7*12+I7*4+L7*2+M7</f>
        <v>30.15</v>
      </c>
      <c r="O7" s="49">
        <f t="shared" ref="O7:O19" si="6">IF(K7="não", N7*(C$23+D$23),N7*(C$23+D$23)+(M7*+E$23))</f>
        <v>2036.8702930499996</v>
      </c>
      <c r="P7" s="50"/>
      <c r="Q7" s="16" t="str">
        <f t="shared" ref="Q7:Q19" si="7">B7</f>
        <v>APS ASTORGA</v>
      </c>
      <c r="R7" s="18">
        <f t="shared" ref="R7:R19" si="8">H7*($C$23+$D$23)</f>
        <v>101.33683049999999</v>
      </c>
      <c r="S7" s="18">
        <f t="shared" ref="S7:S19" si="9">I7*($C$23+$D$23)</f>
        <v>121.60419659999998</v>
      </c>
      <c r="T7" s="18">
        <f t="shared" ref="T7:T19" si="10">L7*($C$23+$D$23)</f>
        <v>111.47051354999999</v>
      </c>
      <c r="U7" s="18">
        <f t="shared" ref="U7:U19" si="11">IF(K7="não",M7*($C$23+$D$23),M7*(C$23+D$23+E$23))</f>
        <v>111.47051354999999</v>
      </c>
      <c r="V7" s="18">
        <f>VLOOKUP(Q7,'Desl. Base Maringá'!$C$5:$S$17,13,FALSE())*($C$23+$D$23+$E$23*(VLOOKUP(Q7,'Desl. Base Maringá'!$C$5:$S$17,17,FALSE())/12))</f>
        <v>131.73787965</v>
      </c>
      <c r="W7" s="18">
        <f>VLOOKUP(Q7,'Desl. Base Maringá'!$C$5:$S$17,15,FALSE())*(2+(VLOOKUP(Q7,'Desl. Base Maringá'!$C$5:$S$17,17,FALSE())/12))</f>
        <v>0</v>
      </c>
      <c r="X7" s="18">
        <f>VLOOKUP(Q7,'Desl. Base Maringá'!$C$5:$Q$19,14,FALSE())</f>
        <v>0</v>
      </c>
      <c r="Y7" s="18">
        <f>VLOOKUP(Q7,'Desl. Base Maringá'!$C$5:$Q$17,13,FALSE())*'Desl. Base Maringá'!$E$22+'Desl. Base Maringá'!$E$23*N7/12</f>
        <v>127.75575000000001</v>
      </c>
      <c r="Z7" s="18">
        <f>(H7/$AC$5)*'Equipe Técnica'!$C$13</f>
        <v>310.47773737341339</v>
      </c>
      <c r="AA7" s="18">
        <f>(I7/$AC$5)*'Equipe Técnica'!$C$13</f>
        <v>372.57328484809602</v>
      </c>
      <c r="AB7" s="18">
        <f>(L7/$AC$5)*'Equipe Técnica'!$C$13</f>
        <v>341.52551111075474</v>
      </c>
      <c r="AC7" s="18">
        <f>(M7/$AC$5)*'Equipe Técnica'!$C$13</f>
        <v>341.52551111075474</v>
      </c>
      <c r="AD7" s="18">
        <f t="shared" ref="AD7:AD19" si="12">R7+(($V7+$W7+$X7+$Y7)*12/19)+$Z7</f>
        <v>575.70528133657126</v>
      </c>
      <c r="AE7" s="18">
        <f t="shared" ref="AE7:AE19" si="13">S7+(($V7+$W7+$X7+$Y7)*12/19)+$AA7</f>
        <v>658.06819491125384</v>
      </c>
      <c r="AF7" s="18">
        <f t="shared" ref="AF7:AF19" si="14">T7+(($V7+$W7+$X7+$Y7)*12/19)+$AB7</f>
        <v>616.88673812391266</v>
      </c>
      <c r="AG7" s="18">
        <f t="shared" ref="AG7:AG19" si="15">U7+(($V7+$W7+$X7+$Y7)*12/19)+$AC7</f>
        <v>616.88673812391266</v>
      </c>
      <c r="AI7" s="16" t="str">
        <f t="shared" ref="AI7:AI19" si="16">B7</f>
        <v>APS ASTORGA</v>
      </c>
      <c r="AJ7" s="51">
        <f>VLOOKUP(AI7,Unidades!D$5:H$29,5,)</f>
        <v>0.2354</v>
      </c>
      <c r="AK7" s="33">
        <f t="shared" ref="AK7:AK19" si="17">AD7*(1+$AJ7)</f>
        <v>711.22630456320019</v>
      </c>
      <c r="AL7" s="33">
        <f t="shared" ref="AL7:AL19" si="18">AE7*(1+$AJ7)</f>
        <v>812.97744799336306</v>
      </c>
      <c r="AM7" s="33">
        <f t="shared" ref="AM7:AM19" si="19">AF7*(1+$AJ7)</f>
        <v>762.10187627828179</v>
      </c>
      <c r="AN7" s="33">
        <f t="shared" ref="AN7:AN19" si="20">AG7*(1+$AJ7)</f>
        <v>762.10187627828179</v>
      </c>
      <c r="AO7" s="33">
        <f t="shared" ref="AO7:AO19" si="21">((AK7*12)+(AL7*4)+(AM7*2)+AN7)/12</f>
        <v>1172.7442562972249</v>
      </c>
      <c r="AP7" s="33">
        <f>AO7*3</f>
        <v>3518.2327688916748</v>
      </c>
      <c r="AQ7" s="33">
        <f t="shared" ref="AQ7:AQ19" si="22">AO7+AP7</f>
        <v>4690.9770251888995</v>
      </c>
      <c r="AR7" s="52"/>
      <c r="AS7" s="53" t="s">
        <v>81</v>
      </c>
      <c r="AT7" s="33">
        <f>AK20</f>
        <v>10229.734621721129</v>
      </c>
      <c r="AU7" s="33">
        <f>AL20</f>
        <v>11862.260913406722</v>
      </c>
      <c r="AV7" s="33">
        <f>AM20</f>
        <v>13774.296734029816</v>
      </c>
      <c r="AW7" s="33">
        <f>AN20</f>
        <v>22862.481862350647</v>
      </c>
    </row>
    <row r="8" spans="2:49" s="3" customFormat="1" ht="15" customHeight="1">
      <c r="B8" s="165" t="s">
        <v>82</v>
      </c>
      <c r="C8" s="47">
        <f>VLOOKUP($B8,Unidades!$D$5:$N$29,6,FALSE())</f>
        <v>2272.1799999999998</v>
      </c>
      <c r="D8" s="47">
        <f>VLOOKUP($B8,Unidades!$D$5:$N$29,7,FALSE())</f>
        <v>1403.37</v>
      </c>
      <c r="E8" s="47">
        <f>VLOOKUP($B8,Unidades!$D$5:$N$29,8,FALSE())</f>
        <v>651.61</v>
      </c>
      <c r="F8" s="47">
        <f>VLOOKUP($B8,Unidades!$D$5:$N$29,9,FALSE())</f>
        <v>217.2</v>
      </c>
      <c r="G8" s="47">
        <f t="shared" si="0"/>
        <v>1653.1534999999999</v>
      </c>
      <c r="H8" s="48">
        <f t="shared" si="1"/>
        <v>2</v>
      </c>
      <c r="I8" s="48">
        <f t="shared" si="2"/>
        <v>2.4</v>
      </c>
      <c r="J8" s="48" t="str">
        <f>VLOOKUP($B8,Unidades!$D$5:$N$29,10,FALSE())</f>
        <v>SIM</v>
      </c>
      <c r="K8" s="48" t="str">
        <f>VLOOKUP($B8,Unidades!$D$5:$N$29,11,FALSE())</f>
        <v>SIM</v>
      </c>
      <c r="L8" s="48">
        <f t="shared" si="3"/>
        <v>4.2</v>
      </c>
      <c r="M8" s="48">
        <f t="shared" si="4"/>
        <v>8.1999999999999993</v>
      </c>
      <c r="N8" s="48">
        <f t="shared" si="5"/>
        <v>50.2</v>
      </c>
      <c r="O8" s="49">
        <f t="shared" si="6"/>
        <v>3755.4039273999997</v>
      </c>
      <c r="P8" s="50"/>
      <c r="Q8" s="16" t="str">
        <f t="shared" si="7"/>
        <v>APS CAMPO MOURÃO</v>
      </c>
      <c r="R8" s="18">
        <f t="shared" si="8"/>
        <v>135.11577399999999</v>
      </c>
      <c r="S8" s="18">
        <f t="shared" si="9"/>
        <v>162.13892879999997</v>
      </c>
      <c r="T8" s="18">
        <f t="shared" si="10"/>
        <v>283.7431254</v>
      </c>
      <c r="U8" s="18">
        <f t="shared" si="11"/>
        <v>917.97267339999985</v>
      </c>
      <c r="V8" s="18">
        <f>VLOOKUP(Q8,'Desl. Base Maringá'!$C$5:$S$17,13,FALSE())*($C$23+$D$23+$E$23*(VLOOKUP(Q8,'Desl. Base Maringá'!$C$5:$S$17,17,FALSE())/12))</f>
        <v>185.26833953333335</v>
      </c>
      <c r="W8" s="18">
        <f>VLOOKUP(Q8,'Desl. Base Maringá'!$C$5:$S$17,15,FALSE())*(2+(VLOOKUP(Q8,'Desl. Base Maringá'!$C$5:$S$17,17,FALSE())/12))</f>
        <v>0</v>
      </c>
      <c r="X8" s="18">
        <f>VLOOKUP(Q8,'Desl. Base Maringá'!$C$5:$Q$19,14,FALSE())</f>
        <v>0</v>
      </c>
      <c r="Y8" s="18">
        <f>VLOOKUP(Q8,'Desl. Base Maringá'!$C$5:$Q$17,13,FALSE())*'Desl. Base Maringá'!$E$22+'Desl. Base Maringá'!$E$23*N8/12</f>
        <v>175.99100000000001</v>
      </c>
      <c r="Z8" s="18">
        <f>(H8/$AC$5)*'Equipe Técnica'!$C$13</f>
        <v>413.97031649788454</v>
      </c>
      <c r="AA8" s="18">
        <f>(I8/$AC$5)*'Equipe Técnica'!$C$13</f>
        <v>496.7643797974614</v>
      </c>
      <c r="AB8" s="18">
        <f>(L8/$AC$5)*'Equipe Técnica'!$C$13</f>
        <v>869.33766464555754</v>
      </c>
      <c r="AC8" s="18">
        <f>(M8/$AC$5)*'Equipe Técnica'!$C$13</f>
        <v>1697.2782976413264</v>
      </c>
      <c r="AD8" s="18">
        <f t="shared" si="12"/>
        <v>777.24988388735824</v>
      </c>
      <c r="AE8" s="18">
        <f t="shared" si="13"/>
        <v>887.06710198693509</v>
      </c>
      <c r="AF8" s="18">
        <f t="shared" si="14"/>
        <v>1381.2445834350312</v>
      </c>
      <c r="AG8" s="18">
        <f t="shared" si="15"/>
        <v>2843.4147644308</v>
      </c>
      <c r="AI8" s="16" t="str">
        <f t="shared" si="16"/>
        <v>APS CAMPO MOURÃO</v>
      </c>
      <c r="AJ8" s="51">
        <f>VLOOKUP(AI8,Unidades!D$5:H$29,5,)</f>
        <v>0.26240000000000002</v>
      </c>
      <c r="AK8" s="33">
        <f t="shared" si="17"/>
        <v>981.20025341940107</v>
      </c>
      <c r="AL8" s="33">
        <f t="shared" si="18"/>
        <v>1119.8335095483069</v>
      </c>
      <c r="AM8" s="33">
        <f t="shared" si="19"/>
        <v>1743.6831621283834</v>
      </c>
      <c r="AN8" s="33">
        <f t="shared" si="20"/>
        <v>3589.5267986174417</v>
      </c>
      <c r="AO8" s="33">
        <f t="shared" si="21"/>
        <v>1944.219183508354</v>
      </c>
      <c r="AP8" s="33">
        <f t="shared" ref="AP8:AP19" si="23">AO8*3</f>
        <v>5832.6575505250621</v>
      </c>
      <c r="AQ8" s="33">
        <f t="shared" si="22"/>
        <v>7776.8767340334161</v>
      </c>
      <c r="AR8" s="52"/>
      <c r="AS8" s="53" t="s">
        <v>83</v>
      </c>
      <c r="AT8" s="33">
        <f>AT7*12</f>
        <v>122756.81546065354</v>
      </c>
      <c r="AU8" s="33">
        <f>AU7*4</f>
        <v>47449.04365362689</v>
      </c>
      <c r="AV8" s="33">
        <f>AV7*2</f>
        <v>27548.593468059633</v>
      </c>
      <c r="AW8" s="33">
        <f>AW7</f>
        <v>22862.481862350647</v>
      </c>
    </row>
    <row r="9" spans="2:49" s="3" customFormat="1" ht="15" customHeight="1">
      <c r="B9" s="165" t="s">
        <v>84</v>
      </c>
      <c r="C9" s="47">
        <f>VLOOKUP($B9,Unidades!$D$5:$N$29,6,FALSE())</f>
        <v>948.9</v>
      </c>
      <c r="D9" s="47">
        <f>VLOOKUP($B9,Unidades!$D$5:$N$29,7,FALSE())</f>
        <v>585</v>
      </c>
      <c r="E9" s="47">
        <f>VLOOKUP($B9,Unidades!$D$5:$N$29,8,FALSE())</f>
        <v>363.9</v>
      </c>
      <c r="F9" s="47">
        <f>VLOOKUP($B9,Unidades!$D$5:$N$29,9,FALSE())</f>
        <v>0</v>
      </c>
      <c r="G9" s="47">
        <f t="shared" si="0"/>
        <v>712.36500000000001</v>
      </c>
      <c r="H9" s="48">
        <f t="shared" si="1"/>
        <v>1.5</v>
      </c>
      <c r="I9" s="48">
        <f t="shared" si="2"/>
        <v>1.7999999999999998</v>
      </c>
      <c r="J9" s="48" t="str">
        <f>VLOOKUP($B9,Unidades!$D$5:$N$29,10,FALSE())</f>
        <v>NÃO</v>
      </c>
      <c r="K9" s="48" t="str">
        <f>VLOOKUP($B9,Unidades!$D$5:$N$29,11,FALSE())</f>
        <v>NÃO</v>
      </c>
      <c r="L9" s="48">
        <f t="shared" si="3"/>
        <v>1.6500000000000001</v>
      </c>
      <c r="M9" s="48">
        <f t="shared" si="4"/>
        <v>1.6500000000000001</v>
      </c>
      <c r="N9" s="48">
        <f t="shared" si="5"/>
        <v>30.15</v>
      </c>
      <c r="O9" s="49">
        <f t="shared" si="6"/>
        <v>2036.8702930499996</v>
      </c>
      <c r="P9" s="50"/>
      <c r="Q9" s="16" t="str">
        <f t="shared" si="7"/>
        <v>APS CIANORTE</v>
      </c>
      <c r="R9" s="18">
        <f t="shared" si="8"/>
        <v>101.33683049999999</v>
      </c>
      <c r="S9" s="18">
        <f t="shared" si="9"/>
        <v>121.60419659999998</v>
      </c>
      <c r="T9" s="18">
        <f t="shared" si="10"/>
        <v>111.47051354999999</v>
      </c>
      <c r="U9" s="18">
        <f t="shared" si="11"/>
        <v>111.47051354999999</v>
      </c>
      <c r="V9" s="18">
        <f>VLOOKUP(Q9,'Desl. Base Maringá'!$C$5:$S$17,13,FALSE())*($C$23+$D$23+$E$23*(VLOOKUP(Q9,'Desl. Base Maringá'!$C$5:$S$17,17,FALSE())/12))</f>
        <v>86.136305924999988</v>
      </c>
      <c r="W9" s="18">
        <f>VLOOKUP(Q9,'Desl. Base Maringá'!$C$5:$S$17,15,FALSE())*(2+(VLOOKUP(Q9,'Desl. Base Maringá'!$C$5:$S$17,17,FALSE())/12))</f>
        <v>0</v>
      </c>
      <c r="X9" s="18">
        <f>VLOOKUP(Q9,'Desl. Base Maringá'!$C$5:$Q$19,14,FALSE())</f>
        <v>0</v>
      </c>
      <c r="Y9" s="18">
        <f>VLOOKUP(Q9,'Desl. Base Maringá'!$C$5:$Q$17,13,FALSE())*'Desl. Base Maringá'!$E$22+'Desl. Base Maringá'!$E$23*N9/12</f>
        <v>89.429249999999996</v>
      </c>
      <c r="Z9" s="18">
        <f>(H9/$AC$5)*'Equipe Técnica'!$C$13</f>
        <v>310.47773737341339</v>
      </c>
      <c r="AA9" s="18">
        <f>(I9/$AC$5)*'Equipe Técnica'!$C$13</f>
        <v>372.57328484809602</v>
      </c>
      <c r="AB9" s="18">
        <f>(L9/$AC$5)*'Equipe Técnica'!$C$13</f>
        <v>341.52551111075474</v>
      </c>
      <c r="AC9" s="18">
        <f>(M9/$AC$5)*'Equipe Técnica'!$C$13</f>
        <v>341.52551111075474</v>
      </c>
      <c r="AD9" s="18">
        <f t="shared" si="12"/>
        <v>522.69807687867649</v>
      </c>
      <c r="AE9" s="18">
        <f t="shared" si="13"/>
        <v>605.06099045335918</v>
      </c>
      <c r="AF9" s="18">
        <f t="shared" si="14"/>
        <v>563.87953366601789</v>
      </c>
      <c r="AG9" s="18">
        <f t="shared" si="15"/>
        <v>563.87953366601789</v>
      </c>
      <c r="AI9" s="16" t="str">
        <f t="shared" si="16"/>
        <v>APS CIANORTE</v>
      </c>
      <c r="AJ9" s="51">
        <f>VLOOKUP(AI9,Unidades!D$5:H$29,5,)</f>
        <v>0.2354</v>
      </c>
      <c r="AK9" s="33">
        <f t="shared" si="17"/>
        <v>645.74120417591701</v>
      </c>
      <c r="AL9" s="33">
        <f t="shared" si="18"/>
        <v>747.49234760607999</v>
      </c>
      <c r="AM9" s="33">
        <f t="shared" si="19"/>
        <v>696.6167758909985</v>
      </c>
      <c r="AN9" s="33">
        <f t="shared" si="20"/>
        <v>696.6167758909985</v>
      </c>
      <c r="AO9" s="33">
        <f t="shared" si="21"/>
        <v>1069.0595140173598</v>
      </c>
      <c r="AP9" s="33">
        <f t="shared" si="23"/>
        <v>3207.1785420520791</v>
      </c>
      <c r="AQ9" s="33">
        <f t="shared" si="22"/>
        <v>4276.2380560694392</v>
      </c>
      <c r="AR9" s="52"/>
      <c r="AS9" s="52"/>
      <c r="AT9" s="54"/>
      <c r="AU9" s="54"/>
      <c r="AV9" s="54"/>
      <c r="AW9" s="54"/>
    </row>
    <row r="10" spans="2:49" s="3" customFormat="1" ht="15" customHeight="1">
      <c r="B10" s="165" t="s">
        <v>85</v>
      </c>
      <c r="C10" s="47">
        <f>VLOOKUP($B10,Unidades!$D$5:$N$29,6,FALSE())</f>
        <v>334.4</v>
      </c>
      <c r="D10" s="47">
        <f>VLOOKUP($B10,Unidades!$D$5:$N$29,7,FALSE())</f>
        <v>296</v>
      </c>
      <c r="E10" s="47">
        <f>VLOOKUP($B10,Unidades!$D$5:$N$29,8,FALSE())</f>
        <v>38.4</v>
      </c>
      <c r="F10" s="47">
        <f>VLOOKUP($B10,Unidades!$D$5:$N$29,9,FALSE())</f>
        <v>0</v>
      </c>
      <c r="G10" s="47">
        <f t="shared" si="0"/>
        <v>309.44</v>
      </c>
      <c r="H10" s="48">
        <f t="shared" si="1"/>
        <v>1.5</v>
      </c>
      <c r="I10" s="48">
        <f t="shared" si="2"/>
        <v>1.7999999999999998</v>
      </c>
      <c r="J10" s="48" t="str">
        <f>VLOOKUP($B10,Unidades!$D$5:$N$29,10,FALSE())</f>
        <v>NÃO</v>
      </c>
      <c r="K10" s="48" t="str">
        <f>VLOOKUP($B10,Unidades!$D$5:$N$29,11,FALSE())</f>
        <v>NÃO</v>
      </c>
      <c r="L10" s="48">
        <f t="shared" si="3"/>
        <v>1.6500000000000001</v>
      </c>
      <c r="M10" s="48">
        <f t="shared" si="4"/>
        <v>1.6500000000000001</v>
      </c>
      <c r="N10" s="48">
        <f t="shared" si="5"/>
        <v>30.15</v>
      </c>
      <c r="O10" s="49">
        <f t="shared" si="6"/>
        <v>2036.8702930499996</v>
      </c>
      <c r="P10" s="50"/>
      <c r="Q10" s="16" t="str">
        <f t="shared" si="7"/>
        <v>APS COLORADO</v>
      </c>
      <c r="R10" s="18">
        <f t="shared" si="8"/>
        <v>101.33683049999999</v>
      </c>
      <c r="S10" s="18">
        <f t="shared" si="9"/>
        <v>121.60419659999998</v>
      </c>
      <c r="T10" s="18">
        <f t="shared" si="10"/>
        <v>111.47051354999999</v>
      </c>
      <c r="U10" s="18">
        <f t="shared" si="11"/>
        <v>111.47051354999999</v>
      </c>
      <c r="V10" s="18">
        <f>VLOOKUP(Q10,'Desl. Base Maringá'!$C$5:$S$17,13,FALSE())*($C$23+$D$23+$E$23*(VLOOKUP(Q10,'Desl. Base Maringá'!$C$5:$S$17,17,FALSE())/12))</f>
        <v>94.018059408333315</v>
      </c>
      <c r="W10" s="18">
        <f>VLOOKUP(Q10,'Desl. Base Maringá'!$C$5:$S$17,15,FALSE())*(2+(VLOOKUP(Q10,'Desl. Base Maringá'!$C$5:$S$17,17,FALSE())/12))</f>
        <v>0</v>
      </c>
      <c r="X10" s="18">
        <f>VLOOKUP(Q10,'Desl. Base Maringá'!$C$5:$Q$19,14,FALSE())</f>
        <v>0</v>
      </c>
      <c r="Y10" s="18">
        <f>VLOOKUP(Q10,'Desl. Base Maringá'!$C$5:$Q$17,13,FALSE())*'Desl. Base Maringá'!$E$22+'Desl. Base Maringá'!$E$23*N10/12</f>
        <v>96.053583333333336</v>
      </c>
      <c r="Z10" s="18">
        <f>(H10/$AC$5)*'Equipe Técnica'!$C$13</f>
        <v>310.47773737341339</v>
      </c>
      <c r="AA10" s="18">
        <f>(I10/$AC$5)*'Equipe Técnica'!$C$13</f>
        <v>372.57328484809602</v>
      </c>
      <c r="AB10" s="18">
        <f>(L10/$AC$5)*'Equipe Técnica'!$C$13</f>
        <v>341.52551111075474</v>
      </c>
      <c r="AC10" s="18">
        <f>(M10/$AC$5)*'Equipe Técnica'!$C$13</f>
        <v>341.52551111075474</v>
      </c>
      <c r="AD10" s="18">
        <f t="shared" si="12"/>
        <v>531.85981592078178</v>
      </c>
      <c r="AE10" s="18">
        <f t="shared" si="13"/>
        <v>614.22272949546436</v>
      </c>
      <c r="AF10" s="18">
        <f t="shared" si="14"/>
        <v>573.04127270812319</v>
      </c>
      <c r="AG10" s="18">
        <f t="shared" si="15"/>
        <v>573.04127270812319</v>
      </c>
      <c r="AI10" s="16" t="str">
        <f t="shared" si="16"/>
        <v>APS COLORADO</v>
      </c>
      <c r="AJ10" s="51">
        <f>VLOOKUP(AI10,Unidades!D$5:H$29,5,)</f>
        <v>0.2354</v>
      </c>
      <c r="AK10" s="33">
        <f t="shared" si="17"/>
        <v>657.0596165885338</v>
      </c>
      <c r="AL10" s="33">
        <f t="shared" si="18"/>
        <v>758.81076001869667</v>
      </c>
      <c r="AM10" s="33">
        <f t="shared" si="19"/>
        <v>707.9351883036154</v>
      </c>
      <c r="AN10" s="33">
        <f t="shared" si="20"/>
        <v>707.9351883036154</v>
      </c>
      <c r="AO10" s="33">
        <f t="shared" si="21"/>
        <v>1086.9803336706698</v>
      </c>
      <c r="AP10" s="33">
        <f t="shared" si="23"/>
        <v>3260.9410010120091</v>
      </c>
      <c r="AQ10" s="33">
        <f t="shared" si="22"/>
        <v>4347.9213346826791</v>
      </c>
      <c r="AR10" s="52"/>
      <c r="AS10" s="55" t="s">
        <v>71</v>
      </c>
      <c r="AT10" s="198">
        <f>(SUM(AT8:AW8))/12</f>
        <v>18384.744537057562</v>
      </c>
      <c r="AU10" s="198"/>
      <c r="AV10" s="54"/>
      <c r="AW10" s="54"/>
    </row>
    <row r="11" spans="2:49" s="3" customFormat="1" ht="15" customHeight="1">
      <c r="B11" s="165" t="s">
        <v>86</v>
      </c>
      <c r="C11" s="47">
        <f>VLOOKUP($B11,Unidades!$D$5:$N$29,6,FALSE())</f>
        <v>334.4</v>
      </c>
      <c r="D11" s="47">
        <f>VLOOKUP($B11,Unidades!$D$5:$N$29,7,FALSE())</f>
        <v>296</v>
      </c>
      <c r="E11" s="47">
        <f>VLOOKUP($B11,Unidades!$D$5:$N$29,8,FALSE())</f>
        <v>38.4</v>
      </c>
      <c r="F11" s="47">
        <f>VLOOKUP($B11,Unidades!$D$5:$N$29,9,FALSE())</f>
        <v>0</v>
      </c>
      <c r="G11" s="47">
        <f t="shared" si="0"/>
        <v>309.44</v>
      </c>
      <c r="H11" s="48">
        <f t="shared" si="1"/>
        <v>1.5</v>
      </c>
      <c r="I11" s="48">
        <f t="shared" si="2"/>
        <v>1.7999999999999998</v>
      </c>
      <c r="J11" s="48" t="str">
        <f>VLOOKUP($B11,Unidades!$D$5:$N$29,10,FALSE())</f>
        <v>NÃO</v>
      </c>
      <c r="K11" s="48" t="str">
        <f>VLOOKUP($B11,Unidades!$D$5:$N$29,11,FALSE())</f>
        <v>NÃO</v>
      </c>
      <c r="L11" s="48">
        <f t="shared" si="3"/>
        <v>1.6500000000000001</v>
      </c>
      <c r="M11" s="48">
        <f t="shared" si="4"/>
        <v>1.6500000000000001</v>
      </c>
      <c r="N11" s="48">
        <f t="shared" si="5"/>
        <v>30.15</v>
      </c>
      <c r="O11" s="49">
        <f t="shared" si="6"/>
        <v>2036.8702930499996</v>
      </c>
      <c r="P11" s="50"/>
      <c r="Q11" s="16" t="str">
        <f t="shared" si="7"/>
        <v>APS CRUZEIRO DO OESTE</v>
      </c>
      <c r="R11" s="18">
        <f t="shared" si="8"/>
        <v>101.33683049999999</v>
      </c>
      <c r="S11" s="18">
        <f t="shared" si="9"/>
        <v>121.60419659999998</v>
      </c>
      <c r="T11" s="18">
        <f t="shared" si="10"/>
        <v>111.47051354999999</v>
      </c>
      <c r="U11" s="18">
        <f t="shared" si="11"/>
        <v>111.47051354999999</v>
      </c>
      <c r="V11" s="18">
        <f>VLOOKUP(Q11,'Desl. Base Maringá'!$C$5:$S$17,13,FALSE())*($C$23+$D$23+$E$23*(VLOOKUP(Q11,'Desl. Base Maringá'!$C$5:$S$17,17,FALSE())/12))</f>
        <v>169.82931123888889</v>
      </c>
      <c r="W11" s="18">
        <f>VLOOKUP(Q11,'Desl. Base Maringá'!$C$5:$S$17,15,FALSE())*(2+(VLOOKUP(Q11,'Desl. Base Maringá'!$C$5:$S$17,17,FALSE())/12))</f>
        <v>0</v>
      </c>
      <c r="X11" s="18">
        <f>VLOOKUP(Q11,'Desl. Base Maringá'!$C$5:$Q$19,14,FALSE())</f>
        <v>0</v>
      </c>
      <c r="Y11" s="18">
        <f>VLOOKUP(Q11,'Desl. Base Maringá'!$C$5:$Q$17,13,FALSE())*'Desl. Base Maringá'!$E$22+'Desl. Base Maringá'!$E$23*N11/12</f>
        <v>152.36041666666668</v>
      </c>
      <c r="Z11" s="18">
        <f>(H11/$AC$5)*'Equipe Técnica'!$C$13</f>
        <v>310.47773737341339</v>
      </c>
      <c r="AA11" s="18">
        <f>(I11/$AC$5)*'Equipe Técnica'!$C$13</f>
        <v>372.57328484809602</v>
      </c>
      <c r="AB11" s="18">
        <f>(L11/$AC$5)*'Equipe Técnica'!$C$13</f>
        <v>341.52551111075474</v>
      </c>
      <c r="AC11" s="18">
        <f>(M11/$AC$5)*'Equipe Técnica'!$C$13</f>
        <v>341.52551111075474</v>
      </c>
      <c r="AD11" s="18">
        <f t="shared" si="12"/>
        <v>615.30281707692211</v>
      </c>
      <c r="AE11" s="18">
        <f t="shared" si="13"/>
        <v>697.66573065160469</v>
      </c>
      <c r="AF11" s="18">
        <f t="shared" si="14"/>
        <v>656.48427386426351</v>
      </c>
      <c r="AG11" s="18">
        <f t="shared" si="15"/>
        <v>656.48427386426351</v>
      </c>
      <c r="AI11" s="16" t="str">
        <f t="shared" si="16"/>
        <v>APS CRUZEIRO DO OESTE</v>
      </c>
      <c r="AJ11" s="51">
        <f>VLOOKUP(AI11,Unidades!D$5:H$29,5,)</f>
        <v>0.2487</v>
      </c>
      <c r="AK11" s="33">
        <f t="shared" si="17"/>
        <v>768.32862768395262</v>
      </c>
      <c r="AL11" s="33">
        <f t="shared" si="18"/>
        <v>871.17519786465868</v>
      </c>
      <c r="AM11" s="33">
        <f t="shared" si="19"/>
        <v>819.75191277430577</v>
      </c>
      <c r="AN11" s="33">
        <f t="shared" si="20"/>
        <v>819.75191277430577</v>
      </c>
      <c r="AO11" s="33">
        <f t="shared" si="21"/>
        <v>1263.658338499082</v>
      </c>
      <c r="AP11" s="33">
        <f t="shared" si="23"/>
        <v>3790.9750154972462</v>
      </c>
      <c r="AQ11" s="33">
        <f t="shared" si="22"/>
        <v>5054.633353996328</v>
      </c>
      <c r="AR11" s="52"/>
      <c r="AS11" s="55" t="s">
        <v>87</v>
      </c>
      <c r="AT11" s="198">
        <f>AT10*12</f>
        <v>220616.93444469076</v>
      </c>
      <c r="AU11" s="198"/>
      <c r="AV11" s="54"/>
      <c r="AW11" s="54"/>
    </row>
    <row r="12" spans="2:49" s="3" customFormat="1" ht="15" customHeight="1">
      <c r="B12" s="165" t="s">
        <v>88</v>
      </c>
      <c r="C12" s="47">
        <f>VLOOKUP($B12,Unidades!$D$5:$N$29,6,FALSE())</f>
        <v>645.13</v>
      </c>
      <c r="D12" s="47">
        <f>VLOOKUP($B12,Unidades!$D$5:$N$29,7,FALSE())</f>
        <v>452.2</v>
      </c>
      <c r="E12" s="47">
        <f>VLOOKUP($B12,Unidades!$D$5:$N$29,8,FALSE())</f>
        <v>91.93</v>
      </c>
      <c r="F12" s="47">
        <f>VLOOKUP($B12,Unidades!$D$5:$N$29,9,FALSE())</f>
        <v>101</v>
      </c>
      <c r="G12" s="47">
        <f t="shared" si="0"/>
        <v>494.47550000000001</v>
      </c>
      <c r="H12" s="48">
        <f t="shared" si="1"/>
        <v>1.5</v>
      </c>
      <c r="I12" s="48">
        <f t="shared" si="2"/>
        <v>1.7999999999999998</v>
      </c>
      <c r="J12" s="48" t="str">
        <f>VLOOKUP($B12,Unidades!$D$5:$N$29,10,FALSE())</f>
        <v>NÃO</v>
      </c>
      <c r="K12" s="48" t="str">
        <f>VLOOKUP($B12,Unidades!$D$5:$N$29,11,FALSE())</f>
        <v>SIM</v>
      </c>
      <c r="L12" s="48">
        <f t="shared" si="3"/>
        <v>1.6500000000000001</v>
      </c>
      <c r="M12" s="48">
        <f t="shared" si="4"/>
        <v>5.65</v>
      </c>
      <c r="N12" s="48">
        <f t="shared" si="5"/>
        <v>34.15</v>
      </c>
      <c r="O12" s="49">
        <f t="shared" si="6"/>
        <v>2557.9053410499996</v>
      </c>
      <c r="P12" s="50"/>
      <c r="Q12" s="16" t="str">
        <f t="shared" si="7"/>
        <v>APS LOANDA</v>
      </c>
      <c r="R12" s="18">
        <f t="shared" si="8"/>
        <v>101.33683049999999</v>
      </c>
      <c r="S12" s="18">
        <f t="shared" si="9"/>
        <v>121.60419659999998</v>
      </c>
      <c r="T12" s="18">
        <f t="shared" si="10"/>
        <v>111.47051354999999</v>
      </c>
      <c r="U12" s="18">
        <f t="shared" si="11"/>
        <v>632.50556155000004</v>
      </c>
      <c r="V12" s="18">
        <f>VLOOKUP(Q12,'Desl. Base Maringá'!$C$5:$S$17,13,FALSE())*($C$23+$D$23+$E$23*(VLOOKUP(Q12,'Desl. Base Maringá'!$C$5:$S$17,17,FALSE())/12))</f>
        <v>84.914655619444446</v>
      </c>
      <c r="W12" s="18">
        <f>VLOOKUP(Q12,'Desl. Base Maringá'!$C$5:$S$17,15,FALSE())*(2+(VLOOKUP(Q12,'Desl. Base Maringá'!$C$5:$S$17,17,FALSE())/12))</f>
        <v>0</v>
      </c>
      <c r="X12" s="18">
        <f>VLOOKUP(Q12,'Desl. Base Maringá'!$C$5:$Q$19,14,FALSE())</f>
        <v>0</v>
      </c>
      <c r="Y12" s="18">
        <f>VLOOKUP(Q12,'Desl. Base Maringá'!$C$5:$Q$17,13,FALSE())*'Desl. Base Maringá'!$E$22+'Desl. Base Maringá'!$E$23*N12/12</f>
        <v>86.957583333333332</v>
      </c>
      <c r="Z12" s="18">
        <f>(H12/$AC$5)*'Equipe Técnica'!$C$13</f>
        <v>310.47773737341339</v>
      </c>
      <c r="AA12" s="18">
        <f>(I12/$AC$5)*'Equipe Técnica'!$C$13</f>
        <v>372.57328484809602</v>
      </c>
      <c r="AB12" s="18">
        <f>(L12/$AC$5)*'Equipe Técnica'!$C$13</f>
        <v>341.52551111075474</v>
      </c>
      <c r="AC12" s="18">
        <f>(M12/$AC$5)*'Equipe Técnica'!$C$13</f>
        <v>1169.4661441065239</v>
      </c>
      <c r="AD12" s="18">
        <f t="shared" si="12"/>
        <v>520.36545563306254</v>
      </c>
      <c r="AE12" s="18">
        <f t="shared" si="13"/>
        <v>602.72836920774512</v>
      </c>
      <c r="AF12" s="18">
        <f t="shared" si="14"/>
        <v>561.54691242040383</v>
      </c>
      <c r="AG12" s="18">
        <f t="shared" si="15"/>
        <v>1910.5225934161731</v>
      </c>
      <c r="AI12" s="16" t="str">
        <f t="shared" si="16"/>
        <v>APS LOANDA</v>
      </c>
      <c r="AJ12" s="51">
        <f>VLOOKUP(AI12,Unidades!D$5:H$29,5,)</f>
        <v>0.26240000000000002</v>
      </c>
      <c r="AK12" s="33">
        <f t="shared" si="17"/>
        <v>656.90935119117808</v>
      </c>
      <c r="AL12" s="33">
        <f t="shared" si="18"/>
        <v>760.88429328785742</v>
      </c>
      <c r="AM12" s="33">
        <f t="shared" si="19"/>
        <v>708.89682223951775</v>
      </c>
      <c r="AN12" s="33">
        <f t="shared" si="20"/>
        <v>2411.843721928577</v>
      </c>
      <c r="AO12" s="33">
        <f t="shared" si="21"/>
        <v>1229.6738961544315</v>
      </c>
      <c r="AP12" s="33">
        <f t="shared" si="23"/>
        <v>3689.0216884632946</v>
      </c>
      <c r="AQ12" s="33">
        <f t="shared" si="22"/>
        <v>4918.6955846177261</v>
      </c>
      <c r="AR12" s="52"/>
      <c r="AS12" s="55" t="s">
        <v>72</v>
      </c>
      <c r="AT12" s="198">
        <f>AP20</f>
        <v>55154.233611172669</v>
      </c>
      <c r="AU12" s="198"/>
      <c r="AV12" s="52"/>
      <c r="AW12" s="52"/>
    </row>
    <row r="13" spans="2:49" s="3" customFormat="1" ht="15" customHeight="1">
      <c r="B13" s="165" t="s">
        <v>89</v>
      </c>
      <c r="C13" s="47">
        <f>VLOOKUP($B13,Unidades!$D$5:$N$29,6,FALSE())</f>
        <v>334.4</v>
      </c>
      <c r="D13" s="47">
        <f>VLOOKUP($B13,Unidades!$D$5:$N$29,7,FALSE())</f>
        <v>296</v>
      </c>
      <c r="E13" s="47">
        <f>VLOOKUP($B13,Unidades!$D$5:$N$29,8,FALSE())</f>
        <v>38.4</v>
      </c>
      <c r="F13" s="47">
        <f>VLOOKUP($B13,Unidades!$D$5:$N$29,9,FALSE())</f>
        <v>0</v>
      </c>
      <c r="G13" s="47">
        <f t="shared" si="0"/>
        <v>309.44</v>
      </c>
      <c r="H13" s="48">
        <f t="shared" si="1"/>
        <v>1.5</v>
      </c>
      <c r="I13" s="48">
        <f t="shared" si="2"/>
        <v>1.7999999999999998</v>
      </c>
      <c r="J13" s="48" t="str">
        <f>VLOOKUP($B13,Unidades!$D$5:$N$29,10,FALSE())</f>
        <v>NÃO</v>
      </c>
      <c r="K13" s="48" t="str">
        <f>VLOOKUP($B13,Unidades!$D$5:$N$29,11,FALSE())</f>
        <v>NÃO</v>
      </c>
      <c r="L13" s="48">
        <f t="shared" si="3"/>
        <v>1.6500000000000001</v>
      </c>
      <c r="M13" s="48">
        <f t="shared" si="4"/>
        <v>1.6500000000000001</v>
      </c>
      <c r="N13" s="48">
        <f t="shared" si="5"/>
        <v>30.15</v>
      </c>
      <c r="O13" s="49">
        <f t="shared" si="6"/>
        <v>2036.8702930499996</v>
      </c>
      <c r="P13" s="50"/>
      <c r="Q13" s="16" t="str">
        <f t="shared" si="7"/>
        <v>APS MANDAGUARI</v>
      </c>
      <c r="R13" s="18">
        <f t="shared" si="8"/>
        <v>101.33683049999999</v>
      </c>
      <c r="S13" s="18">
        <f t="shared" si="9"/>
        <v>121.60419659999998</v>
      </c>
      <c r="T13" s="18">
        <f t="shared" si="10"/>
        <v>111.47051354999999</v>
      </c>
      <c r="U13" s="18">
        <f t="shared" si="11"/>
        <v>111.47051354999999</v>
      </c>
      <c r="V13" s="18">
        <f>VLOOKUP(Q13,'Desl. Base Maringá'!$C$5:$S$17,13,FALSE())*($C$23+$D$23+$E$23*(VLOOKUP(Q13,'Desl. Base Maringá'!$C$5:$S$17,17,FALSE())/12))</f>
        <v>50.668415249999995</v>
      </c>
      <c r="W13" s="18">
        <f>VLOOKUP(Q13,'Desl. Base Maringá'!$C$5:$S$17,15,FALSE())*(2+(VLOOKUP(Q13,'Desl. Base Maringá'!$C$5:$S$17,17,FALSE())/12))</f>
        <v>0</v>
      </c>
      <c r="X13" s="18">
        <f>VLOOKUP(Q13,'Desl. Base Maringá'!$C$5:$Q$19,14,FALSE())</f>
        <v>0</v>
      </c>
      <c r="Y13" s="18">
        <f>VLOOKUP(Q13,'Desl. Base Maringá'!$C$5:$Q$17,13,FALSE())*'Desl. Base Maringá'!$E$22+'Desl. Base Maringá'!$E$23*N13/12</f>
        <v>59.619749999999996</v>
      </c>
      <c r="Z13" s="18">
        <f>(H13/$AC$5)*'Equipe Técnica'!$C$13</f>
        <v>310.47773737341339</v>
      </c>
      <c r="AA13" s="18">
        <f>(I13/$AC$5)*'Equipe Técnica'!$C$13</f>
        <v>372.57328484809602</v>
      </c>
      <c r="AB13" s="18">
        <f>(L13/$AC$5)*'Equipe Técnica'!$C$13</f>
        <v>341.52551111075474</v>
      </c>
      <c r="AC13" s="18">
        <f>(M13/$AC$5)*'Equipe Técnica'!$C$13</f>
        <v>341.52551111075474</v>
      </c>
      <c r="AD13" s="18">
        <f t="shared" si="12"/>
        <v>481.47025118920283</v>
      </c>
      <c r="AE13" s="18">
        <f t="shared" si="13"/>
        <v>563.83316476388541</v>
      </c>
      <c r="AF13" s="18">
        <f t="shared" si="14"/>
        <v>522.65170797654423</v>
      </c>
      <c r="AG13" s="18">
        <f t="shared" si="15"/>
        <v>522.65170797654423</v>
      </c>
      <c r="AI13" s="16" t="str">
        <f t="shared" si="16"/>
        <v>APS MANDAGUARI</v>
      </c>
      <c r="AJ13" s="51">
        <f>VLOOKUP(AI13,Unidades!D$5:H$29,5,)</f>
        <v>0.2354</v>
      </c>
      <c r="AK13" s="33">
        <f t="shared" si="17"/>
        <v>594.80834831914115</v>
      </c>
      <c r="AL13" s="33">
        <f t="shared" si="18"/>
        <v>696.55949174930402</v>
      </c>
      <c r="AM13" s="33">
        <f t="shared" si="19"/>
        <v>645.68392003422275</v>
      </c>
      <c r="AN13" s="33">
        <f t="shared" si="20"/>
        <v>645.68392003422275</v>
      </c>
      <c r="AO13" s="33">
        <f t="shared" si="21"/>
        <v>988.41582557746472</v>
      </c>
      <c r="AP13" s="33">
        <f t="shared" si="23"/>
        <v>2965.2474767323943</v>
      </c>
      <c r="AQ13" s="33">
        <f t="shared" si="22"/>
        <v>3953.6633023098589</v>
      </c>
      <c r="AR13" s="52"/>
      <c r="AS13" s="55" t="s">
        <v>90</v>
      </c>
      <c r="AT13" s="198">
        <f>AT12*12</f>
        <v>661850.803334072</v>
      </c>
      <c r="AU13" s="198"/>
      <c r="AV13" s="54"/>
      <c r="AW13" s="54"/>
    </row>
    <row r="14" spans="2:49" s="3" customFormat="1" ht="15" customHeight="1">
      <c r="B14" s="165" t="s">
        <v>91</v>
      </c>
      <c r="C14" s="47">
        <f>VLOOKUP($B14,Unidades!$D$5:$N$29,6,FALSE())</f>
        <v>334.4</v>
      </c>
      <c r="D14" s="47">
        <f>VLOOKUP($B14,Unidades!$D$5:$N$29,7,FALSE())</f>
        <v>296</v>
      </c>
      <c r="E14" s="47">
        <f>VLOOKUP($B14,Unidades!$D$5:$N$29,8,FALSE())</f>
        <v>38.4</v>
      </c>
      <c r="F14" s="47">
        <f>VLOOKUP($B14,Unidades!$D$5:$N$29,9,FALSE())</f>
        <v>0</v>
      </c>
      <c r="G14" s="47">
        <f t="shared" si="0"/>
        <v>309.44</v>
      </c>
      <c r="H14" s="48">
        <f t="shared" si="1"/>
        <v>1.5</v>
      </c>
      <c r="I14" s="48">
        <f t="shared" si="2"/>
        <v>1.7999999999999998</v>
      </c>
      <c r="J14" s="48" t="str">
        <f>VLOOKUP($B14,Unidades!$D$5:$N$29,10,FALSE())</f>
        <v>NÃO</v>
      </c>
      <c r="K14" s="48" t="str">
        <f>VLOOKUP($B14,Unidades!$D$5:$N$29,11,FALSE())</f>
        <v>NÃO</v>
      </c>
      <c r="L14" s="48">
        <f t="shared" si="3"/>
        <v>1.6500000000000001</v>
      </c>
      <c r="M14" s="48">
        <f t="shared" si="4"/>
        <v>1.6500000000000001</v>
      </c>
      <c r="N14" s="48">
        <f t="shared" si="5"/>
        <v>30.15</v>
      </c>
      <c r="O14" s="49">
        <f t="shared" si="6"/>
        <v>2036.8702930499996</v>
      </c>
      <c r="P14" s="50"/>
      <c r="Q14" s="16" t="str">
        <f t="shared" si="7"/>
        <v>APS NOVA ESPERANÇA</v>
      </c>
      <c r="R14" s="18">
        <f t="shared" si="8"/>
        <v>101.33683049999999</v>
      </c>
      <c r="S14" s="18">
        <f t="shared" si="9"/>
        <v>121.60419659999998</v>
      </c>
      <c r="T14" s="18">
        <f t="shared" si="10"/>
        <v>111.47051354999999</v>
      </c>
      <c r="U14" s="18">
        <f t="shared" si="11"/>
        <v>111.47051354999999</v>
      </c>
      <c r="V14" s="18">
        <f>VLOOKUP(Q14,'Desl. Base Maringá'!$C$5:$S$17,13,FALSE())*($C$23+$D$23+$E$23*(VLOOKUP(Q14,'Desl. Base Maringá'!$C$5:$S$17,17,FALSE())/12))</f>
        <v>94.018059408333315</v>
      </c>
      <c r="W14" s="18">
        <f>VLOOKUP(Q14,'Desl. Base Maringá'!$C$5:$S$17,15,FALSE())*(2+(VLOOKUP(Q14,'Desl. Base Maringá'!$C$5:$S$17,17,FALSE())/12))</f>
        <v>0</v>
      </c>
      <c r="X14" s="18">
        <f>VLOOKUP(Q14,'Desl. Base Maringá'!$C$5:$Q$19,14,FALSE())</f>
        <v>0</v>
      </c>
      <c r="Y14" s="18">
        <f>VLOOKUP(Q14,'Desl. Base Maringá'!$C$5:$Q$17,13,FALSE())*'Desl. Base Maringá'!$E$22+'Desl. Base Maringá'!$E$23*N14/12</f>
        <v>96.053583333333336</v>
      </c>
      <c r="Z14" s="18">
        <f>(H14/$AC$5)*'Equipe Técnica'!$C$13</f>
        <v>310.47773737341339</v>
      </c>
      <c r="AA14" s="18">
        <f>(I14/$AC$5)*'Equipe Técnica'!$C$13</f>
        <v>372.57328484809602</v>
      </c>
      <c r="AB14" s="18">
        <f>(L14/$AC$5)*'Equipe Técnica'!$C$13</f>
        <v>341.52551111075474</v>
      </c>
      <c r="AC14" s="18">
        <f>(M14/$AC$5)*'Equipe Técnica'!$C$13</f>
        <v>341.52551111075474</v>
      </c>
      <c r="AD14" s="18">
        <f t="shared" si="12"/>
        <v>531.85981592078178</v>
      </c>
      <c r="AE14" s="18">
        <f t="shared" si="13"/>
        <v>614.22272949546436</v>
      </c>
      <c r="AF14" s="18">
        <f t="shared" si="14"/>
        <v>573.04127270812319</v>
      </c>
      <c r="AG14" s="18">
        <f t="shared" si="15"/>
        <v>573.04127270812319</v>
      </c>
      <c r="AI14" s="16" t="str">
        <f t="shared" si="16"/>
        <v>APS NOVA ESPERANÇA</v>
      </c>
      <c r="AJ14" s="51">
        <f>VLOOKUP(AI14,Unidades!D$5:H$29,5,)</f>
        <v>0.2223</v>
      </c>
      <c r="AK14" s="33">
        <f t="shared" si="17"/>
        <v>650.09225299997149</v>
      </c>
      <c r="AL14" s="33">
        <f t="shared" si="18"/>
        <v>750.76444226230603</v>
      </c>
      <c r="AM14" s="33">
        <f t="shared" si="19"/>
        <v>700.42834763113899</v>
      </c>
      <c r="AN14" s="33">
        <f t="shared" si="20"/>
        <v>700.42834763113899</v>
      </c>
      <c r="AO14" s="33">
        <f t="shared" si="21"/>
        <v>1075.4541539951917</v>
      </c>
      <c r="AP14" s="33">
        <f t="shared" si="23"/>
        <v>3226.3624619855755</v>
      </c>
      <c r="AQ14" s="33">
        <f t="shared" si="22"/>
        <v>4301.816615980767</v>
      </c>
      <c r="AR14" s="52"/>
      <c r="AS14" s="55" t="s">
        <v>73</v>
      </c>
      <c r="AT14" s="198">
        <f>AT10+AT12</f>
        <v>73538.978148230235</v>
      </c>
      <c r="AU14" s="198"/>
      <c r="AV14" s="54"/>
      <c r="AW14" s="54"/>
    </row>
    <row r="15" spans="2:49" s="3" customFormat="1" ht="15" customHeight="1">
      <c r="B15" s="165" t="s">
        <v>92</v>
      </c>
      <c r="C15" s="47">
        <f>VLOOKUP($B15,Unidades!$D$5:$N$29,6,FALSE())</f>
        <v>334.4</v>
      </c>
      <c r="D15" s="47">
        <f>VLOOKUP($B15,Unidades!$D$5:$N$29,7,FALSE())</f>
        <v>296</v>
      </c>
      <c r="E15" s="47">
        <f>VLOOKUP($B15,Unidades!$D$5:$N$29,8,FALSE())</f>
        <v>38.4</v>
      </c>
      <c r="F15" s="47">
        <f>VLOOKUP($B15,Unidades!$D$5:$N$29,9,FALSE())</f>
        <v>0</v>
      </c>
      <c r="G15" s="47">
        <f t="shared" si="0"/>
        <v>309.44</v>
      </c>
      <c r="H15" s="48">
        <f t="shared" si="1"/>
        <v>1.5</v>
      </c>
      <c r="I15" s="48">
        <f t="shared" si="2"/>
        <v>1.7999999999999998</v>
      </c>
      <c r="J15" s="48" t="str">
        <f>VLOOKUP($B15,Unidades!$D$5:$N$29,10,FALSE())</f>
        <v>NÃO</v>
      </c>
      <c r="K15" s="48" t="str">
        <f>VLOOKUP($B15,Unidades!$D$5:$N$29,11,FALSE())</f>
        <v>NÃO</v>
      </c>
      <c r="L15" s="48">
        <f t="shared" si="3"/>
        <v>1.6500000000000001</v>
      </c>
      <c r="M15" s="48">
        <f t="shared" si="4"/>
        <v>1.6500000000000001</v>
      </c>
      <c r="N15" s="48">
        <f t="shared" si="5"/>
        <v>30.15</v>
      </c>
      <c r="O15" s="49">
        <f t="shared" si="6"/>
        <v>2036.8702930499996</v>
      </c>
      <c r="P15" s="50"/>
      <c r="Q15" s="16" t="str">
        <f t="shared" si="7"/>
        <v>APS PAIÇANDU</v>
      </c>
      <c r="R15" s="18">
        <f t="shared" si="8"/>
        <v>101.33683049999999</v>
      </c>
      <c r="S15" s="18">
        <f t="shared" si="9"/>
        <v>121.60419659999998</v>
      </c>
      <c r="T15" s="18">
        <f t="shared" si="10"/>
        <v>111.47051354999999</v>
      </c>
      <c r="U15" s="18">
        <f t="shared" si="11"/>
        <v>111.47051354999999</v>
      </c>
      <c r="V15" s="18">
        <f>VLOOKUP(Q15,'Desl. Base Maringá'!$C$5:$S$17,13,FALSE())*($C$23+$D$23+$E$23*(VLOOKUP(Q15,'Desl. Base Maringá'!$C$5:$S$17,17,FALSE())/12))</f>
        <v>86.136305924999988</v>
      </c>
      <c r="W15" s="18">
        <f>VLOOKUP(Q15,'Desl. Base Maringá'!$C$5:$S$17,15,FALSE())*(2+(VLOOKUP(Q15,'Desl. Base Maringá'!$C$5:$S$17,17,FALSE())/12))</f>
        <v>0</v>
      </c>
      <c r="X15" s="18">
        <f>VLOOKUP(Q15,'Desl. Base Maringá'!$C$5:$Q$19,14,FALSE())</f>
        <v>0</v>
      </c>
      <c r="Y15" s="18">
        <f>VLOOKUP(Q15,'Desl. Base Maringá'!$C$5:$Q$17,13,FALSE())*'Desl. Base Maringá'!$E$22+'Desl. Base Maringá'!$E$23*N15/12</f>
        <v>89.429249999999996</v>
      </c>
      <c r="Z15" s="18">
        <f>(H15/$AC$5)*'Equipe Técnica'!$C$13</f>
        <v>310.47773737341339</v>
      </c>
      <c r="AA15" s="18">
        <f>(I15/$AC$5)*'Equipe Técnica'!$C$13</f>
        <v>372.57328484809602</v>
      </c>
      <c r="AB15" s="18">
        <f>(L15/$AC$5)*'Equipe Técnica'!$C$13</f>
        <v>341.52551111075474</v>
      </c>
      <c r="AC15" s="18">
        <f>(M15/$AC$5)*'Equipe Técnica'!$C$13</f>
        <v>341.52551111075474</v>
      </c>
      <c r="AD15" s="18">
        <f t="shared" si="12"/>
        <v>522.69807687867649</v>
      </c>
      <c r="AE15" s="18">
        <f t="shared" si="13"/>
        <v>605.06099045335918</v>
      </c>
      <c r="AF15" s="18">
        <f t="shared" si="14"/>
        <v>563.87953366601789</v>
      </c>
      <c r="AG15" s="18">
        <f t="shared" si="15"/>
        <v>563.87953366601789</v>
      </c>
      <c r="AI15" s="16" t="str">
        <f t="shared" si="16"/>
        <v>APS PAIÇANDU</v>
      </c>
      <c r="AJ15" s="51">
        <f>VLOOKUP(AI15,Unidades!D$5:H$29,5,)</f>
        <v>0.2354</v>
      </c>
      <c r="AK15" s="33">
        <f t="shared" si="17"/>
        <v>645.74120417591701</v>
      </c>
      <c r="AL15" s="33">
        <f t="shared" si="18"/>
        <v>747.49234760607999</v>
      </c>
      <c r="AM15" s="33">
        <f t="shared" si="19"/>
        <v>696.6167758909985</v>
      </c>
      <c r="AN15" s="33">
        <f t="shared" si="20"/>
        <v>696.6167758909985</v>
      </c>
      <c r="AO15" s="33">
        <f t="shared" si="21"/>
        <v>1069.0595140173598</v>
      </c>
      <c r="AP15" s="33">
        <f t="shared" si="23"/>
        <v>3207.1785420520791</v>
      </c>
      <c r="AQ15" s="33">
        <f t="shared" si="22"/>
        <v>4276.2380560694392</v>
      </c>
      <c r="AR15" s="52"/>
      <c r="AS15" s="55" t="s">
        <v>93</v>
      </c>
      <c r="AT15" s="198">
        <f>AT11+AT13</f>
        <v>882467.73777876282</v>
      </c>
      <c r="AU15" s="198"/>
      <c r="AV15" s="52"/>
      <c r="AW15" s="52"/>
    </row>
    <row r="16" spans="2:49" s="3" customFormat="1" ht="15" customHeight="1">
      <c r="B16" s="165" t="s">
        <v>94</v>
      </c>
      <c r="C16" s="47">
        <f>VLOOKUP($B16,Unidades!$D$5:$N$29,6,FALSE())</f>
        <v>2638.17</v>
      </c>
      <c r="D16" s="47">
        <f>VLOOKUP($B16,Unidades!$D$5:$N$29,7,FALSE())</f>
        <v>1217.05</v>
      </c>
      <c r="E16" s="47">
        <f>VLOOKUP($B16,Unidades!$D$5:$N$29,8,FALSE())</f>
        <v>346.5</v>
      </c>
      <c r="F16" s="47">
        <f>VLOOKUP($B16,Unidades!$D$5:$N$29,9,FALSE())</f>
        <v>1074.6199999999999</v>
      </c>
      <c r="G16" s="47">
        <f t="shared" si="0"/>
        <v>1445.787</v>
      </c>
      <c r="H16" s="48">
        <f t="shared" si="1"/>
        <v>2</v>
      </c>
      <c r="I16" s="48">
        <f t="shared" si="2"/>
        <v>2.4</v>
      </c>
      <c r="J16" s="48" t="str">
        <f>VLOOKUP($B16,Unidades!$D$5:$N$29,10,FALSE())</f>
        <v>SIM</v>
      </c>
      <c r="K16" s="48" t="str">
        <f>VLOOKUP($B16,Unidades!$D$5:$N$29,11,FALSE())</f>
        <v>SIM</v>
      </c>
      <c r="L16" s="48">
        <f t="shared" si="3"/>
        <v>4.2</v>
      </c>
      <c r="M16" s="48">
        <f t="shared" si="4"/>
        <v>8.1999999999999993</v>
      </c>
      <c r="N16" s="48">
        <f t="shared" si="5"/>
        <v>50.2</v>
      </c>
      <c r="O16" s="49">
        <f t="shared" si="6"/>
        <v>3755.4039273999997</v>
      </c>
      <c r="P16" s="50"/>
      <c r="Q16" s="16" t="str">
        <f t="shared" si="7"/>
        <v>APS PARANAVAÍ</v>
      </c>
      <c r="R16" s="18">
        <f t="shared" si="8"/>
        <v>135.11577399999999</v>
      </c>
      <c r="S16" s="18">
        <f t="shared" si="9"/>
        <v>162.13892879999997</v>
      </c>
      <c r="T16" s="18">
        <f t="shared" si="10"/>
        <v>283.7431254</v>
      </c>
      <c r="U16" s="18">
        <f t="shared" si="11"/>
        <v>917.97267339999985</v>
      </c>
      <c r="V16" s="18">
        <f>VLOOKUP(Q16,'Desl. Base Maringá'!$C$5:$S$17,13,FALSE())*($C$23+$D$23+$E$23*(VLOOKUP(Q16,'Desl. Base Maringá'!$C$5:$S$17,17,FALSE())/12))</f>
        <v>84.914655619444446</v>
      </c>
      <c r="W16" s="18">
        <f>VLOOKUP(Q16,'Desl. Base Maringá'!$C$5:$S$17,15,FALSE())*(2+(VLOOKUP(Q16,'Desl. Base Maringá'!$C$5:$S$17,17,FALSE())/12))</f>
        <v>0</v>
      </c>
      <c r="X16" s="18">
        <f>VLOOKUP(Q16,'Desl. Base Maringá'!$C$5:$Q$19,14,FALSE())</f>
        <v>0</v>
      </c>
      <c r="Y16" s="18">
        <f>VLOOKUP(Q16,'Desl. Base Maringá'!$C$5:$Q$17,13,FALSE())*'Desl. Base Maringá'!$E$22+'Desl. Base Maringá'!$E$23*N16/12</f>
        <v>96.025833333333338</v>
      </c>
      <c r="Z16" s="18">
        <f>(H16/$AC$5)*'Equipe Técnica'!$C$13</f>
        <v>413.97031649788454</v>
      </c>
      <c r="AA16" s="18">
        <f>(I16/$AC$5)*'Equipe Técnica'!$C$13</f>
        <v>496.7643797974614</v>
      </c>
      <c r="AB16" s="18">
        <f>(L16/$AC$5)*'Equipe Técnica'!$C$13</f>
        <v>869.33766464555754</v>
      </c>
      <c r="AC16" s="18">
        <f>(M16/$AC$5)*'Equipe Técnica'!$C$13</f>
        <v>1697.2782976413264</v>
      </c>
      <c r="AD16" s="18">
        <f t="shared" si="12"/>
        <v>663.36429404700743</v>
      </c>
      <c r="AE16" s="18">
        <f t="shared" si="13"/>
        <v>773.18151214658428</v>
      </c>
      <c r="AF16" s="18">
        <f t="shared" si="14"/>
        <v>1267.3589935946804</v>
      </c>
      <c r="AG16" s="18">
        <f t="shared" si="15"/>
        <v>2729.5291745904487</v>
      </c>
      <c r="AI16" s="16" t="str">
        <f t="shared" si="16"/>
        <v>APS PARANAVAÍ</v>
      </c>
      <c r="AJ16" s="51">
        <f>VLOOKUP(AI16,Unidades!D$5:H$29,5,)</f>
        <v>0.2487</v>
      </c>
      <c r="AK16" s="33">
        <f t="shared" si="17"/>
        <v>828.34299397649818</v>
      </c>
      <c r="AL16" s="33">
        <f t="shared" si="18"/>
        <v>965.47175421743975</v>
      </c>
      <c r="AM16" s="33">
        <f t="shared" si="19"/>
        <v>1582.5511753016774</v>
      </c>
      <c r="AN16" s="33">
        <f t="shared" si="20"/>
        <v>3408.3630803110932</v>
      </c>
      <c r="AO16" s="33">
        <f t="shared" si="21"/>
        <v>1697.9556979585157</v>
      </c>
      <c r="AP16" s="33">
        <f t="shared" si="23"/>
        <v>5093.8670938755467</v>
      </c>
      <c r="AQ16" s="33">
        <f t="shared" si="22"/>
        <v>6791.8227918340626</v>
      </c>
      <c r="AR16" s="52"/>
      <c r="AS16" s="52"/>
      <c r="AT16" s="52"/>
      <c r="AU16" s="52"/>
      <c r="AV16" s="52"/>
      <c r="AW16" s="52"/>
    </row>
    <row r="17" spans="2:49" s="3" customFormat="1" ht="15" customHeight="1">
      <c r="B17" s="165" t="s">
        <v>95</v>
      </c>
      <c r="C17" s="47">
        <f>VLOOKUP($B17,Unidades!$D$5:$N$29,6,FALSE())</f>
        <v>3345.5</v>
      </c>
      <c r="D17" s="47">
        <f>VLOOKUP($B17,Unidades!$D$5:$N$29,7,FALSE())</f>
        <v>2007</v>
      </c>
      <c r="E17" s="47">
        <f>VLOOKUP($B17,Unidades!$D$5:$N$29,8,FALSE())</f>
        <v>1003.5</v>
      </c>
      <c r="F17" s="47">
        <f>VLOOKUP($B17,Unidades!$D$5:$N$29,9,FALSE())</f>
        <v>335</v>
      </c>
      <c r="G17" s="47">
        <f t="shared" si="0"/>
        <v>2391.7249999999999</v>
      </c>
      <c r="H17" s="48">
        <f t="shared" si="1"/>
        <v>3</v>
      </c>
      <c r="I17" s="48">
        <f t="shared" si="2"/>
        <v>3.5999999999999996</v>
      </c>
      <c r="J17" s="48" t="str">
        <f>VLOOKUP($B17,Unidades!$D$5:$N$29,10,FALSE())</f>
        <v>SIM</v>
      </c>
      <c r="K17" s="48" t="str">
        <f>VLOOKUP($B17,Unidades!$D$5:$N$29,11,FALSE())</f>
        <v>SIM</v>
      </c>
      <c r="L17" s="48">
        <f t="shared" si="3"/>
        <v>5.3000000000000007</v>
      </c>
      <c r="M17" s="48">
        <f t="shared" si="4"/>
        <v>9.3000000000000007</v>
      </c>
      <c r="N17" s="48">
        <f t="shared" si="5"/>
        <v>70.3</v>
      </c>
      <c r="O17" s="49">
        <f t="shared" si="6"/>
        <v>5162.1464560999993</v>
      </c>
      <c r="P17" s="50"/>
      <c r="Q17" s="16" t="str">
        <f t="shared" si="7"/>
        <v>APS UMUARAMA</v>
      </c>
      <c r="R17" s="18">
        <f t="shared" si="8"/>
        <v>202.67366099999998</v>
      </c>
      <c r="S17" s="18">
        <f t="shared" si="9"/>
        <v>243.20839319999996</v>
      </c>
      <c r="T17" s="18">
        <f t="shared" si="10"/>
        <v>358.05680110000003</v>
      </c>
      <c r="U17" s="18">
        <f t="shared" si="11"/>
        <v>1041.1153491</v>
      </c>
      <c r="V17" s="18">
        <f>VLOOKUP(Q17,'Desl. Base Maringá'!$C$5:$S$17,13,FALSE())*($C$23+$D$23+$E$23*(VLOOKUP(Q17,'Desl. Base Maringá'!$C$5:$S$17,17,FALSE())/12))</f>
        <v>169.82931123888889</v>
      </c>
      <c r="W17" s="18">
        <f>VLOOKUP(Q17,'Desl. Base Maringá'!$C$5:$S$17,15,FALSE())*(2+(VLOOKUP(Q17,'Desl. Base Maringá'!$C$5:$S$17,17,FALSE())/12))</f>
        <v>0</v>
      </c>
      <c r="X17" s="18">
        <f>VLOOKUP(Q17,'Desl. Base Maringá'!$C$5:$Q$19,14,FALSE())</f>
        <v>0</v>
      </c>
      <c r="Y17" s="18">
        <f>VLOOKUP(Q17,'Desl. Base Maringá'!$C$5:$Q$17,13,FALSE())*'Desl. Base Maringá'!$E$22+'Desl. Base Maringá'!$E$23*N17/12</f>
        <v>175.04516666666669</v>
      </c>
      <c r="Z17" s="18">
        <f>(H17/$AC$5)*'Equipe Técnica'!$C$13</f>
        <v>620.95547474682678</v>
      </c>
      <c r="AA17" s="18">
        <f>(I17/$AC$5)*'Equipe Técnica'!$C$13</f>
        <v>745.14656969619205</v>
      </c>
      <c r="AB17" s="18">
        <f>(L17/$AC$5)*'Equipe Técnica'!$C$13</f>
        <v>1097.0213387193942</v>
      </c>
      <c r="AC17" s="18">
        <f>(M17/$AC$5)*'Equipe Técnica'!$C$13</f>
        <v>1924.9619717151631</v>
      </c>
      <c r="AD17" s="18">
        <f t="shared" si="12"/>
        <v>1041.4445954766513</v>
      </c>
      <c r="AE17" s="18">
        <f t="shared" si="13"/>
        <v>1206.1704226260167</v>
      </c>
      <c r="AF17" s="18">
        <f t="shared" si="14"/>
        <v>1672.8935995492188</v>
      </c>
      <c r="AG17" s="18">
        <f t="shared" si="15"/>
        <v>3183.8927805449875</v>
      </c>
      <c r="AI17" s="16" t="str">
        <f t="shared" si="16"/>
        <v>APS UMUARAMA</v>
      </c>
      <c r="AJ17" s="51">
        <f>VLOOKUP(AI17,Unidades!D$5:H$29,5,)</f>
        <v>0.2223</v>
      </c>
      <c r="AK17" s="33">
        <f t="shared" si="17"/>
        <v>1272.9577290511108</v>
      </c>
      <c r="AL17" s="33">
        <f t="shared" si="18"/>
        <v>1474.3021075757802</v>
      </c>
      <c r="AM17" s="33">
        <f t="shared" si="19"/>
        <v>2044.77784672901</v>
      </c>
      <c r="AN17" s="33">
        <f t="shared" si="20"/>
        <v>3891.6721456601381</v>
      </c>
      <c r="AO17" s="33">
        <f t="shared" si="21"/>
        <v>2429.4940848362176</v>
      </c>
      <c r="AP17" s="33">
        <f t="shared" si="23"/>
        <v>7288.4822545086527</v>
      </c>
      <c r="AQ17" s="33">
        <f t="shared" si="22"/>
        <v>9717.9763393448702</v>
      </c>
      <c r="AR17" s="52"/>
      <c r="AS17" s="52"/>
      <c r="AT17" s="52"/>
      <c r="AU17" s="52"/>
      <c r="AV17" s="52"/>
      <c r="AW17" s="52"/>
    </row>
    <row r="18" spans="2:49" s="3" customFormat="1" ht="15" customHeight="1">
      <c r="B18" s="165" t="s">
        <v>96</v>
      </c>
      <c r="C18" s="47">
        <f>VLOOKUP($B18,Unidades!$D$5:$N$29,6,FALSE())</f>
        <v>1122</v>
      </c>
      <c r="D18" s="47">
        <f>VLOOKUP($B18,Unidades!$D$5:$N$29,7,FALSE())</f>
        <v>882</v>
      </c>
      <c r="E18" s="47">
        <f>VLOOKUP($B18,Unidades!$D$5:$N$29,8,FALSE())</f>
        <v>240</v>
      </c>
      <c r="F18" s="47">
        <f>VLOOKUP($B18,Unidades!$D$5:$N$29,9,FALSE())</f>
        <v>0</v>
      </c>
      <c r="G18" s="47">
        <f t="shared" si="0"/>
        <v>966</v>
      </c>
      <c r="H18" s="48">
        <f t="shared" si="1"/>
        <v>2</v>
      </c>
      <c r="I18" s="48">
        <f t="shared" si="2"/>
        <v>2.4</v>
      </c>
      <c r="J18" s="48" t="str">
        <f>VLOOKUP($B18,Unidades!$D$5:$N$29,10,FALSE())</f>
        <v>NÃO</v>
      </c>
      <c r="K18" s="48" t="str">
        <f>VLOOKUP($B18,Unidades!$D$5:$N$29,11,FALSE())</f>
        <v>NÃO</v>
      </c>
      <c r="L18" s="48">
        <f t="shared" si="3"/>
        <v>2.2000000000000002</v>
      </c>
      <c r="M18" s="48">
        <f t="shared" si="4"/>
        <v>2.2000000000000002</v>
      </c>
      <c r="N18" s="48">
        <f t="shared" si="5"/>
        <v>40.200000000000003</v>
      </c>
      <c r="O18" s="49">
        <f t="shared" si="6"/>
        <v>2715.8270573999998</v>
      </c>
      <c r="P18" s="50"/>
      <c r="Q18" s="16" t="str">
        <f t="shared" si="7"/>
        <v>CEDOCPREV MARINGÁ</v>
      </c>
      <c r="R18" s="18">
        <f t="shared" si="8"/>
        <v>135.11577399999999</v>
      </c>
      <c r="S18" s="18">
        <f t="shared" si="9"/>
        <v>162.13892879999997</v>
      </c>
      <c r="T18" s="18">
        <f t="shared" si="10"/>
        <v>148.62735140000001</v>
      </c>
      <c r="U18" s="18">
        <f t="shared" si="11"/>
        <v>148.62735140000001</v>
      </c>
      <c r="V18" s="18">
        <f>VLOOKUP(Q18,'Desl. Base Maringá'!$C$5:$S$17,13,FALSE())*($C$23+$D$23+$E$23*(VLOOKUP(Q18,'Desl. Base Maringá'!$C$5:$S$17,17,FALSE())/12))</f>
        <v>50.668415249999995</v>
      </c>
      <c r="W18" s="18">
        <f>VLOOKUP(Q18,'Desl. Base Maringá'!$C$5:$S$17,15,FALSE())*(2+(VLOOKUP(Q18,'Desl. Base Maringá'!$C$5:$S$17,17,FALSE())/12))</f>
        <v>0</v>
      </c>
      <c r="X18" s="18">
        <f>VLOOKUP(Q18,'Desl. Base Maringá'!$C$5:$Q$19,14,FALSE())</f>
        <v>0</v>
      </c>
      <c r="Y18" s="18">
        <f>VLOOKUP(Q18,'Desl. Base Maringá'!$C$5:$Q$17,13,FALSE())*'Desl. Base Maringá'!$E$22+'Desl. Base Maringá'!$E$23*N18/12</f>
        <v>65.298000000000002</v>
      </c>
      <c r="Z18" s="18">
        <f>(H18/$AC$5)*'Equipe Técnica'!$C$13</f>
        <v>413.97031649788454</v>
      </c>
      <c r="AA18" s="18">
        <f>(I18/$AC$5)*'Equipe Técnica'!$C$13</f>
        <v>496.7643797974614</v>
      </c>
      <c r="AB18" s="18">
        <f>(L18/$AC$5)*'Equipe Técnica'!$C$13</f>
        <v>455.367348147673</v>
      </c>
      <c r="AC18" s="18">
        <f>(M18/$AC$5)*'Equipe Técnica'!$C$13</f>
        <v>455.367348147673</v>
      </c>
      <c r="AD18" s="18">
        <f t="shared" si="12"/>
        <v>622.32803697156874</v>
      </c>
      <c r="AE18" s="18">
        <f t="shared" si="13"/>
        <v>732.14525507114558</v>
      </c>
      <c r="AF18" s="18">
        <f t="shared" si="14"/>
        <v>677.23664602135727</v>
      </c>
      <c r="AG18" s="18">
        <f t="shared" si="15"/>
        <v>677.23664602135727</v>
      </c>
      <c r="AI18" s="16" t="str">
        <f t="shared" si="16"/>
        <v>CEDOCPREV MARINGÁ</v>
      </c>
      <c r="AJ18" s="51">
        <f>VLOOKUP(AI18,Unidades!D$5:H$29,5,)</f>
        <v>0.2354</v>
      </c>
      <c r="AK18" s="33">
        <f t="shared" si="17"/>
        <v>768.8240568746761</v>
      </c>
      <c r="AL18" s="33">
        <f t="shared" si="18"/>
        <v>904.4922481148933</v>
      </c>
      <c r="AM18" s="33">
        <f t="shared" si="19"/>
        <v>836.65815249478476</v>
      </c>
      <c r="AN18" s="33">
        <f t="shared" si="20"/>
        <v>836.65815249478476</v>
      </c>
      <c r="AO18" s="33">
        <f t="shared" si="21"/>
        <v>1279.4860110366701</v>
      </c>
      <c r="AP18" s="33">
        <f t="shared" si="23"/>
        <v>3838.4580331100105</v>
      </c>
      <c r="AQ18" s="33">
        <f t="shared" si="22"/>
        <v>5117.9440441466804</v>
      </c>
      <c r="AR18" s="52"/>
      <c r="AS18" s="52"/>
      <c r="AT18" s="52"/>
      <c r="AU18" s="52"/>
      <c r="AV18" s="52"/>
      <c r="AW18" s="52"/>
    </row>
    <row r="19" spans="2:49" s="3" customFormat="1" ht="15" customHeight="1">
      <c r="B19" s="165" t="s">
        <v>97</v>
      </c>
      <c r="C19" s="47">
        <f>VLOOKUP($B19,Unidades!$D$5:$N$29,6,FALSE())</f>
        <v>3140.36</v>
      </c>
      <c r="D19" s="47">
        <f>VLOOKUP($B19,Unidades!$D$5:$N$29,7,FALSE())</f>
        <v>2714.7</v>
      </c>
      <c r="E19" s="47">
        <f>VLOOKUP($B19,Unidades!$D$5:$N$29,8,FALSE())</f>
        <v>425.66</v>
      </c>
      <c r="F19" s="47">
        <f>VLOOKUP($B19,Unidades!$D$5:$N$29,9,FALSE())</f>
        <v>0</v>
      </c>
      <c r="G19" s="47">
        <f t="shared" si="0"/>
        <v>2863.6809999999996</v>
      </c>
      <c r="H19" s="48">
        <f t="shared" si="1"/>
        <v>3</v>
      </c>
      <c r="I19" s="48">
        <f t="shared" si="2"/>
        <v>3.5999999999999996</v>
      </c>
      <c r="J19" s="48" t="str">
        <f>VLOOKUP($B19,Unidades!$D$5:$N$29,10,FALSE())</f>
        <v>SIM</v>
      </c>
      <c r="K19" s="48" t="str">
        <f>VLOOKUP($B19,Unidades!$D$5:$N$29,11,FALSE())</f>
        <v>SIM</v>
      </c>
      <c r="L19" s="48">
        <f t="shared" si="3"/>
        <v>5.3000000000000007</v>
      </c>
      <c r="M19" s="48">
        <f t="shared" si="4"/>
        <v>9.3000000000000007</v>
      </c>
      <c r="N19" s="48">
        <f t="shared" si="5"/>
        <v>70.3</v>
      </c>
      <c r="O19" s="49">
        <f t="shared" si="6"/>
        <v>5162.1464560999993</v>
      </c>
      <c r="P19" s="50"/>
      <c r="Q19" s="16" t="str">
        <f t="shared" si="7"/>
        <v>GEX/APS MARINGÁ</v>
      </c>
      <c r="R19" s="18">
        <f t="shared" si="8"/>
        <v>202.67366099999998</v>
      </c>
      <c r="S19" s="18">
        <f t="shared" si="9"/>
        <v>243.20839319999996</v>
      </c>
      <c r="T19" s="18">
        <f t="shared" si="10"/>
        <v>358.05680110000003</v>
      </c>
      <c r="U19" s="18">
        <f t="shared" si="11"/>
        <v>1041.1153491</v>
      </c>
      <c r="V19" s="18">
        <f>VLOOKUP(Q19,'Desl. Base Maringá'!$C$5:$S$17,13,FALSE())*($C$23+$D$23+$E$23*(VLOOKUP(Q19,'Desl. Base Maringá'!$C$5:$S$17,17,FALSE())/12))</f>
        <v>0</v>
      </c>
      <c r="W19" s="18">
        <f>VLOOKUP(Q19,'Desl. Base Maringá'!$C$5:$S$17,15,FALSE())*(2+(VLOOKUP(Q19,'Desl. Base Maringá'!$C$5:$S$17,17,FALSE())/12))</f>
        <v>0</v>
      </c>
      <c r="X19" s="18">
        <f>VLOOKUP(Q19,'Desl. Base Maringá'!$C$5:$Q$19,14,FALSE())</f>
        <v>0</v>
      </c>
      <c r="Y19" s="18">
        <f>VLOOKUP(Q19,'Desl. Base Maringá'!$C$5:$Q$17,13,FALSE())*'Desl. Base Maringá'!$E$22+'Desl. Base Maringá'!$E$23*N19/12</f>
        <v>39.719500000000004</v>
      </c>
      <c r="Z19" s="18">
        <f>(H19/$AC$5)*'Equipe Técnica'!$C$13</f>
        <v>620.95547474682678</v>
      </c>
      <c r="AA19" s="18">
        <f>(I19/$AC$5)*'Equipe Técnica'!$C$13</f>
        <v>745.14656969619205</v>
      </c>
      <c r="AB19" s="18">
        <f>(L19/$AC$5)*'Equipe Técnica'!$C$13</f>
        <v>1097.0213387193942</v>
      </c>
      <c r="AC19" s="18">
        <f>(M19/$AC$5)*'Equipe Técnica'!$C$13</f>
        <v>1924.9619717151631</v>
      </c>
      <c r="AD19" s="18">
        <f t="shared" si="12"/>
        <v>848.71513574682672</v>
      </c>
      <c r="AE19" s="18">
        <f t="shared" si="13"/>
        <v>1013.440962896192</v>
      </c>
      <c r="AF19" s="18">
        <f t="shared" si="14"/>
        <v>1480.1641398193942</v>
      </c>
      <c r="AG19" s="18">
        <f t="shared" si="15"/>
        <v>2991.1633208151634</v>
      </c>
      <c r="AI19" s="16" t="str">
        <f t="shared" si="16"/>
        <v>GEX/APS MARINGÁ</v>
      </c>
      <c r="AJ19" s="51">
        <f>VLOOKUP(AI19,Unidades!D$5:H$29,5,)</f>
        <v>0.2354</v>
      </c>
      <c r="AK19" s="33">
        <f t="shared" si="17"/>
        <v>1048.5026787016297</v>
      </c>
      <c r="AL19" s="33">
        <f t="shared" si="18"/>
        <v>1252.0049655619557</v>
      </c>
      <c r="AM19" s="33">
        <f t="shared" si="19"/>
        <v>1828.5947783328797</v>
      </c>
      <c r="AN19" s="33">
        <f t="shared" si="20"/>
        <v>3695.2831665350532</v>
      </c>
      <c r="AO19" s="33">
        <f t="shared" si="21"/>
        <v>2078.543727489016</v>
      </c>
      <c r="AP19" s="33">
        <f t="shared" si="23"/>
        <v>6235.6311824670483</v>
      </c>
      <c r="AQ19" s="33">
        <f t="shared" si="22"/>
        <v>8314.1749099560639</v>
      </c>
      <c r="AR19" s="52"/>
      <c r="AS19" s="52"/>
      <c r="AT19" s="52"/>
      <c r="AU19" s="52"/>
      <c r="AV19" s="52"/>
      <c r="AW19" s="52"/>
    </row>
    <row r="20" spans="2:49" s="39" customFormat="1" ht="19.5" customHeight="1">
      <c r="B20" s="57" t="s">
        <v>98</v>
      </c>
      <c r="C20" s="58">
        <f t="shared" ref="C20:I20" si="24">SUM(C7:C19)</f>
        <v>16118.64</v>
      </c>
      <c r="D20" s="58">
        <f t="shared" si="24"/>
        <v>11037.32</v>
      </c>
      <c r="E20" s="58">
        <f t="shared" si="24"/>
        <v>3353.5</v>
      </c>
      <c r="F20" s="58">
        <f t="shared" si="24"/>
        <v>1727.82</v>
      </c>
      <c r="G20" s="58">
        <f t="shared" si="24"/>
        <v>12383.826999999997</v>
      </c>
      <c r="H20" s="59">
        <f t="shared" si="24"/>
        <v>24</v>
      </c>
      <c r="I20" s="59">
        <f t="shared" si="24"/>
        <v>28.799999999999997</v>
      </c>
      <c r="J20" s="59">
        <f>COUNTIF(J7:J19,"SIM")</f>
        <v>4</v>
      </c>
      <c r="K20" s="59">
        <f>COUNTIF(K7:K19,"SIM")</f>
        <v>5</v>
      </c>
      <c r="L20" s="59">
        <f>SUM(L7:L19)</f>
        <v>34.400000000000006</v>
      </c>
      <c r="M20" s="59">
        <f>SUM(M7:M19)</f>
        <v>54.399999999999991</v>
      </c>
      <c r="N20" s="59">
        <f>SUM(N7:N19)</f>
        <v>526.4</v>
      </c>
      <c r="O20" s="60">
        <f>SUM(O7:O19)</f>
        <v>37366.925216799995</v>
      </c>
      <c r="P20" s="61"/>
      <c r="Q20" s="59" t="s">
        <v>98</v>
      </c>
      <c r="R20" s="62">
        <f t="shared" ref="R20:AG20" si="25">SUM(R7:R19)</f>
        <v>1621.3892880000001</v>
      </c>
      <c r="S20" s="62">
        <f t="shared" si="25"/>
        <v>1945.6671456000001</v>
      </c>
      <c r="T20" s="62">
        <f t="shared" si="25"/>
        <v>2323.9913127999998</v>
      </c>
      <c r="U20" s="62">
        <f t="shared" si="25"/>
        <v>5479.6025528000009</v>
      </c>
      <c r="V20" s="62">
        <f t="shared" si="25"/>
        <v>1288.1397140666666</v>
      </c>
      <c r="W20" s="62">
        <f t="shared" si="25"/>
        <v>0</v>
      </c>
      <c r="X20" s="62">
        <f t="shared" si="25"/>
        <v>0</v>
      </c>
      <c r="Y20" s="62">
        <f t="shared" si="25"/>
        <v>1349.7386666666666</v>
      </c>
      <c r="Z20" s="62">
        <f t="shared" si="25"/>
        <v>4967.6437979746133</v>
      </c>
      <c r="AA20" s="62">
        <f t="shared" si="25"/>
        <v>5961.1725575695373</v>
      </c>
      <c r="AB20" s="62">
        <f t="shared" si="25"/>
        <v>7120.2894437636151</v>
      </c>
      <c r="AC20" s="62">
        <f t="shared" si="25"/>
        <v>11259.992608742459</v>
      </c>
      <c r="AD20" s="62">
        <f t="shared" si="25"/>
        <v>8255.0615369640873</v>
      </c>
      <c r="AE20" s="62">
        <f t="shared" si="25"/>
        <v>9572.8681541590086</v>
      </c>
      <c r="AF20" s="62">
        <f t="shared" si="25"/>
        <v>11110.309207553088</v>
      </c>
      <c r="AG20" s="62">
        <f t="shared" si="25"/>
        <v>18405.623612531934</v>
      </c>
      <c r="AI20" s="196" t="s">
        <v>98</v>
      </c>
      <c r="AJ20" s="196"/>
      <c r="AK20" s="63">
        <f t="shared" ref="AK20:AQ20" si="26">SUM(AK7:AK19)</f>
        <v>10229.734621721129</v>
      </c>
      <c r="AL20" s="63">
        <f t="shared" si="26"/>
        <v>11862.260913406722</v>
      </c>
      <c r="AM20" s="63">
        <f t="shared" si="26"/>
        <v>13774.296734029816</v>
      </c>
      <c r="AN20" s="63">
        <f t="shared" si="26"/>
        <v>22862.481862350647</v>
      </c>
      <c r="AO20" s="63">
        <f t="shared" si="26"/>
        <v>18384.744537057555</v>
      </c>
      <c r="AP20" s="63">
        <f t="shared" si="26"/>
        <v>55154.233611172669</v>
      </c>
      <c r="AQ20" s="63">
        <f t="shared" si="26"/>
        <v>73538.978148230221</v>
      </c>
    </row>
    <row r="21" spans="2:49" ht="18" customHeight="1">
      <c r="H21" s="64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40"/>
      <c r="AE21" s="40"/>
      <c r="AF21" s="40"/>
      <c r="AG21" s="40"/>
    </row>
    <row r="22" spans="2:49" ht="39.75" customHeight="1">
      <c r="B22" s="197" t="s">
        <v>29</v>
      </c>
      <c r="C22" s="66" t="s">
        <v>99</v>
      </c>
      <c r="D22" s="66" t="s">
        <v>100</v>
      </c>
      <c r="E22" s="66" t="s">
        <v>101</v>
      </c>
      <c r="R22" s="21"/>
      <c r="Z22" s="21"/>
      <c r="AA22" s="21"/>
      <c r="AB22" s="21"/>
      <c r="AC22" s="21"/>
    </row>
    <row r="23" spans="2:49" ht="18" customHeight="1">
      <c r="B23" s="197"/>
      <c r="C23" s="18">
        <f>'Comp. Oficial de Manutenção'!D11</f>
        <v>37.687886999999996</v>
      </c>
      <c r="D23" s="18">
        <v>29.87</v>
      </c>
      <c r="E23" s="18">
        <v>44.39</v>
      </c>
    </row>
    <row r="24" spans="2:49" ht="28.5" customHeight="1">
      <c r="B24" s="36" t="str">
        <f>'Equipe Técnica'!B9</f>
        <v>* SINAPI Maio/2025 (Não Desonerado)</v>
      </c>
    </row>
    <row r="25" spans="2:49" ht="23.25" customHeight="1"/>
  </sheetData>
  <mergeCells count="44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Q5:AQ6"/>
    <mergeCell ref="AS5:AS6"/>
    <mergeCell ref="AT10:AU10"/>
    <mergeCell ref="AP5:AP6"/>
    <mergeCell ref="AI20:AJ20"/>
    <mergeCell ref="B22:B23"/>
    <mergeCell ref="AT11:AU11"/>
    <mergeCell ref="AT12:AU12"/>
    <mergeCell ref="AT13:AU13"/>
    <mergeCell ref="AT14:AU14"/>
    <mergeCell ref="AT15:AU15"/>
  </mergeCells>
  <printOptions horizontalCentered="1" verticalCentered="1"/>
  <pageMargins left="7.8472222222222193E-2" right="3.8194444444444503E-2" top="0.196527777777778" bottom="0.196527777777778" header="0.511811023622047" footer="0.511811023622047"/>
  <pageSetup paperSize="9" pageOrder="overThenDown" orientation="portrait" useFirstPageNumber="1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79998168889431442"/>
  </sheetPr>
  <dimension ref="B1:IZ37"/>
  <sheetViews>
    <sheetView showGridLines="0" zoomScale="110" zoomScaleNormal="110" workbookViewId="0">
      <selection activeCell="H23" sqref="H23"/>
    </sheetView>
  </sheetViews>
  <sheetFormatPr defaultColWidth="8.625" defaultRowHeight="14.25"/>
  <cols>
    <col min="1" max="1" width="5.625" customWidth="1"/>
    <col min="2" max="2" width="12.625" style="67" customWidth="1"/>
    <col min="3" max="3" width="32.625" style="67" customWidth="1"/>
    <col min="4" max="13" width="9.625" style="67" customWidth="1"/>
    <col min="14" max="15" width="9.625" style="68" customWidth="1"/>
    <col min="16" max="17" width="9.625" style="67" customWidth="1"/>
    <col min="18" max="18" width="11.75" style="67" customWidth="1"/>
    <col min="19" max="19" width="14.25" style="67" customWidth="1"/>
    <col min="20" max="260" width="8.625" style="67"/>
  </cols>
  <sheetData>
    <row r="1" spans="2:19" ht="15" customHeight="1"/>
    <row r="2" spans="2:19" ht="24.75" customHeight="1">
      <c r="B2" s="217" t="str">
        <f>"DESLOCAMENTO BASE "&amp;Resumo!B5</f>
        <v>DESLOCAMENTO BASE MARINGÁ</v>
      </c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191"/>
    </row>
    <row r="3" spans="2:19" ht="15" customHeight="1"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</row>
    <row r="4" spans="2:19" ht="37.5" customHeight="1">
      <c r="B4" s="15" t="s">
        <v>102</v>
      </c>
      <c r="C4" s="15" t="str">
        <f>"Rota (saída e retorno "&amp;Resumo!B5&amp;")"</f>
        <v>Rota (saída e retorno MARINGÁ)</v>
      </c>
      <c r="D4" s="15" t="s">
        <v>103</v>
      </c>
      <c r="E4" s="15" t="s">
        <v>104</v>
      </c>
      <c r="F4" s="15" t="s">
        <v>105</v>
      </c>
      <c r="G4" s="15" t="s">
        <v>106</v>
      </c>
      <c r="H4" s="15" t="s">
        <v>107</v>
      </c>
      <c r="I4" s="15" t="s">
        <v>108</v>
      </c>
      <c r="J4" s="15" t="s">
        <v>109</v>
      </c>
      <c r="K4" s="15" t="s">
        <v>110</v>
      </c>
      <c r="L4" s="15" t="s">
        <v>111</v>
      </c>
      <c r="M4" s="70" t="s">
        <v>112</v>
      </c>
      <c r="N4" s="15" t="s">
        <v>113</v>
      </c>
      <c r="O4" s="15" t="s">
        <v>114</v>
      </c>
      <c r="P4" s="15" t="s">
        <v>115</v>
      </c>
      <c r="Q4" s="15" t="s">
        <v>66</v>
      </c>
      <c r="R4" s="15" t="s">
        <v>116</v>
      </c>
      <c r="S4" s="15" t="s">
        <v>117</v>
      </c>
    </row>
    <row r="5" spans="2:19" ht="15.75" customHeight="1">
      <c r="B5" s="71">
        <v>1</v>
      </c>
      <c r="C5" s="56" t="s">
        <v>97</v>
      </c>
      <c r="D5" s="72">
        <v>0</v>
      </c>
      <c r="E5" s="72">
        <v>0</v>
      </c>
      <c r="F5" s="72">
        <v>0</v>
      </c>
      <c r="G5" s="177">
        <f>SUM(D5:F5)</f>
        <v>0</v>
      </c>
      <c r="H5" s="72">
        <v>0</v>
      </c>
      <c r="I5" s="72">
        <v>0</v>
      </c>
      <c r="J5" s="72">
        <v>0</v>
      </c>
      <c r="K5" s="74">
        <f>SUM(H5:J5)</f>
        <v>0</v>
      </c>
      <c r="L5" s="77">
        <f>K5/60</f>
        <v>0</v>
      </c>
      <c r="M5" s="76">
        <v>0</v>
      </c>
      <c r="N5" s="74">
        <v>1</v>
      </c>
      <c r="O5" s="77">
        <f>L5/N5</f>
        <v>0</v>
      </c>
      <c r="P5" s="178">
        <v>0</v>
      </c>
      <c r="Q5" s="178">
        <v>0</v>
      </c>
      <c r="R5" s="168" t="str">
        <f>INDEX('Base Maringá'!K$7:K$19,MATCH('Desl. Base Maringá'!C5,'Base Maringá'!B$7:B$19,0))</f>
        <v>SIM</v>
      </c>
      <c r="S5" s="179">
        <v>1</v>
      </c>
    </row>
    <row r="6" spans="2:19" ht="15.75" customHeight="1">
      <c r="B6" s="71">
        <v>2</v>
      </c>
      <c r="C6" s="56" t="s">
        <v>80</v>
      </c>
      <c r="D6" s="72">
        <v>48.1</v>
      </c>
      <c r="E6" s="72">
        <v>49.1</v>
      </c>
      <c r="F6" s="72">
        <v>0</v>
      </c>
      <c r="G6" s="177">
        <f>SUM(D6:F6)</f>
        <v>97.2</v>
      </c>
      <c r="H6" s="72">
        <v>58</v>
      </c>
      <c r="I6" s="72">
        <v>59</v>
      </c>
      <c r="J6" s="72">
        <v>0</v>
      </c>
      <c r="K6" s="74">
        <f>SUM(H6:J6)</f>
        <v>117</v>
      </c>
      <c r="L6" s="77">
        <f>K6/60</f>
        <v>1.95</v>
      </c>
      <c r="M6" s="76">
        <v>0</v>
      </c>
      <c r="N6" s="74">
        <v>1</v>
      </c>
      <c r="O6" s="77">
        <f>L6/N6</f>
        <v>1.95</v>
      </c>
      <c r="P6" s="178">
        <v>0</v>
      </c>
      <c r="Q6" s="178">
        <v>0</v>
      </c>
      <c r="R6" s="168" t="str">
        <f>INDEX('Base Maringá'!K$7:K$19,MATCH('Desl. Base Maringá'!C6,'Base Maringá'!B$7:B$19,0))</f>
        <v>NÃO</v>
      </c>
      <c r="S6" s="179">
        <v>0</v>
      </c>
    </row>
    <row r="7" spans="2:19" ht="15.75" customHeight="1">
      <c r="B7" s="216">
        <v>3</v>
      </c>
      <c r="C7" s="56" t="s">
        <v>96</v>
      </c>
      <c r="D7" s="213">
        <v>2.9</v>
      </c>
      <c r="E7" s="213">
        <v>33</v>
      </c>
      <c r="F7" s="213">
        <v>36.5</v>
      </c>
      <c r="G7" s="212">
        <f>SUM(D7:F8)</f>
        <v>72.400000000000006</v>
      </c>
      <c r="H7" s="213">
        <v>10</v>
      </c>
      <c r="I7" s="213">
        <v>35</v>
      </c>
      <c r="J7" s="213">
        <v>45</v>
      </c>
      <c r="K7" s="214">
        <f>SUM(H7:J8)</f>
        <v>90</v>
      </c>
      <c r="L7" s="215">
        <f>K7/60</f>
        <v>1.5</v>
      </c>
      <c r="M7" s="76">
        <v>0</v>
      </c>
      <c r="N7" s="214">
        <v>2</v>
      </c>
      <c r="O7" s="75">
        <f>L7/N7</f>
        <v>0.75</v>
      </c>
      <c r="P7" s="76">
        <v>0</v>
      </c>
      <c r="Q7" s="76">
        <v>0</v>
      </c>
      <c r="R7" s="168" t="str">
        <f>INDEX('Base Maringá'!K$7:K$19,MATCH('Desl. Base Maringá'!C7,'Base Maringá'!B$7:B$19,0))</f>
        <v>NÃO</v>
      </c>
      <c r="S7" s="179">
        <v>0</v>
      </c>
    </row>
    <row r="8" spans="2:19" ht="15.75" customHeight="1">
      <c r="B8" s="216"/>
      <c r="C8" s="56" t="s">
        <v>89</v>
      </c>
      <c r="D8" s="213"/>
      <c r="E8" s="213"/>
      <c r="F8" s="213"/>
      <c r="G8" s="212"/>
      <c r="H8" s="213"/>
      <c r="I8" s="213"/>
      <c r="J8" s="213"/>
      <c r="K8" s="214"/>
      <c r="L8" s="215"/>
      <c r="M8" s="76">
        <v>0</v>
      </c>
      <c r="N8" s="214"/>
      <c r="O8" s="75">
        <f>O7</f>
        <v>0.75</v>
      </c>
      <c r="P8" s="76">
        <v>0</v>
      </c>
      <c r="Q8" s="76">
        <v>0</v>
      </c>
      <c r="R8" s="168" t="str">
        <f>INDEX('Base Maringá'!K$7:K$19,MATCH('Desl. Base Maringá'!C8,'Base Maringá'!B$7:B$19,0))</f>
        <v>NÃO</v>
      </c>
      <c r="S8" s="179">
        <v>0</v>
      </c>
    </row>
    <row r="9" spans="2:19" ht="15.75" customHeight="1">
      <c r="B9" s="216">
        <v>4</v>
      </c>
      <c r="C9" s="56" t="s">
        <v>94</v>
      </c>
      <c r="D9" s="213">
        <v>43.6</v>
      </c>
      <c r="E9" s="213">
        <f>75.8-D9</f>
        <v>32.199999999999996</v>
      </c>
      <c r="F9" s="213">
        <v>73.099999999999994</v>
      </c>
      <c r="G9" s="212">
        <f>SUM(D9:F10)</f>
        <v>148.89999999999998</v>
      </c>
      <c r="H9" s="213">
        <v>57</v>
      </c>
      <c r="I9" s="213">
        <f>74-H9</f>
        <v>17</v>
      </c>
      <c r="J9" s="213">
        <v>69</v>
      </c>
      <c r="K9" s="214">
        <f>SUM(H9:J10)</f>
        <v>143</v>
      </c>
      <c r="L9" s="215">
        <f>K9/60</f>
        <v>2.3833333333333333</v>
      </c>
      <c r="M9" s="76">
        <v>0</v>
      </c>
      <c r="N9" s="214">
        <v>2</v>
      </c>
      <c r="O9" s="75">
        <f>L9/N9</f>
        <v>1.1916666666666667</v>
      </c>
      <c r="P9" s="76">
        <v>0</v>
      </c>
      <c r="Q9" s="76">
        <v>0</v>
      </c>
      <c r="R9" s="168" t="str">
        <f>INDEX('Base Maringá'!K$7:K$19,MATCH('Desl. Base Maringá'!C9,'Base Maringá'!B$7:B$19,0))</f>
        <v>SIM</v>
      </c>
      <c r="S9" s="179">
        <v>1</v>
      </c>
    </row>
    <row r="10" spans="2:19" ht="15.75" customHeight="1">
      <c r="B10" s="216"/>
      <c r="C10" s="56" t="s">
        <v>88</v>
      </c>
      <c r="D10" s="213"/>
      <c r="E10" s="213"/>
      <c r="F10" s="213"/>
      <c r="G10" s="212"/>
      <c r="H10" s="213"/>
      <c r="I10" s="213"/>
      <c r="J10" s="213"/>
      <c r="K10" s="214"/>
      <c r="L10" s="215"/>
      <c r="M10" s="76">
        <v>0</v>
      </c>
      <c r="N10" s="214"/>
      <c r="O10" s="75">
        <f>O9</f>
        <v>1.1916666666666667</v>
      </c>
      <c r="P10" s="76">
        <v>0</v>
      </c>
      <c r="Q10" s="76">
        <v>0</v>
      </c>
      <c r="R10" s="168" t="str">
        <f>INDEX('Base Maringá'!K$7:K$19,MATCH('Desl. Base Maringá'!C10,'Base Maringá'!B$7:B$19,0))</f>
        <v>SIM</v>
      </c>
      <c r="S10" s="179">
        <v>1</v>
      </c>
    </row>
    <row r="11" spans="2:19" ht="15.75" customHeight="1">
      <c r="B11" s="216">
        <v>5</v>
      </c>
      <c r="C11" s="56" t="s">
        <v>91</v>
      </c>
      <c r="D11" s="213">
        <v>43.6</v>
      </c>
      <c r="E11" s="213">
        <f>94-D11</f>
        <v>50.4</v>
      </c>
      <c r="F11" s="213">
        <v>92.3</v>
      </c>
      <c r="G11" s="212">
        <f>SUM(D11:F12)</f>
        <v>186.3</v>
      </c>
      <c r="H11" s="213">
        <v>46</v>
      </c>
      <c r="I11" s="213">
        <f>85-H11</f>
        <v>39</v>
      </c>
      <c r="J11" s="213">
        <v>82</v>
      </c>
      <c r="K11" s="214">
        <f>SUM(H11:J12)</f>
        <v>167</v>
      </c>
      <c r="L11" s="215">
        <f>K11/60</f>
        <v>2.7833333333333332</v>
      </c>
      <c r="M11" s="76">
        <v>0</v>
      </c>
      <c r="N11" s="214">
        <v>2</v>
      </c>
      <c r="O11" s="75">
        <f>L11/N11</f>
        <v>1.3916666666666666</v>
      </c>
      <c r="P11" s="76">
        <v>0</v>
      </c>
      <c r="Q11" s="76">
        <v>0</v>
      </c>
      <c r="R11" s="168" t="str">
        <f>INDEX('Base Maringá'!K$7:K$19,MATCH('Desl. Base Maringá'!C11,'Base Maringá'!B$7:B$19,0))</f>
        <v>NÃO</v>
      </c>
      <c r="S11" s="179">
        <v>0</v>
      </c>
    </row>
    <row r="12" spans="2:19" ht="15.75" customHeight="1">
      <c r="B12" s="216"/>
      <c r="C12" s="56" t="s">
        <v>85</v>
      </c>
      <c r="D12" s="213"/>
      <c r="E12" s="213"/>
      <c r="F12" s="213"/>
      <c r="G12" s="212"/>
      <c r="H12" s="213"/>
      <c r="I12" s="213"/>
      <c r="J12" s="213"/>
      <c r="K12" s="214"/>
      <c r="L12" s="215"/>
      <c r="M12" s="76">
        <v>0</v>
      </c>
      <c r="N12" s="214"/>
      <c r="O12" s="75">
        <f>O11</f>
        <v>1.3916666666666666</v>
      </c>
      <c r="P12" s="76">
        <v>0</v>
      </c>
      <c r="Q12" s="76">
        <v>0</v>
      </c>
      <c r="R12" s="168" t="str">
        <f>INDEX('Base Maringá'!K$7:K$19,MATCH('Desl. Base Maringá'!C12,'Base Maringá'!B$7:B$19,0))</f>
        <v>NÃO</v>
      </c>
      <c r="S12" s="179">
        <v>0</v>
      </c>
    </row>
    <row r="13" spans="2:19" ht="15.75" customHeight="1">
      <c r="B13" s="216">
        <v>6</v>
      </c>
      <c r="C13" s="56" t="s">
        <v>86</v>
      </c>
      <c r="D13" s="213">
        <v>134</v>
      </c>
      <c r="E13" s="213">
        <f>163-D13</f>
        <v>29</v>
      </c>
      <c r="F13" s="213">
        <v>162</v>
      </c>
      <c r="G13" s="212">
        <f>SUM(D13:F14)</f>
        <v>325</v>
      </c>
      <c r="H13" s="213">
        <v>114</v>
      </c>
      <c r="I13" s="213">
        <f>144-H13</f>
        <v>30</v>
      </c>
      <c r="J13" s="213">
        <v>142</v>
      </c>
      <c r="K13" s="214">
        <f>SUM(H13:J14)</f>
        <v>286</v>
      </c>
      <c r="L13" s="215">
        <f>K13/60</f>
        <v>4.7666666666666666</v>
      </c>
      <c r="M13" s="76">
        <v>0</v>
      </c>
      <c r="N13" s="214">
        <v>2</v>
      </c>
      <c r="O13" s="75">
        <f>L13/N13</f>
        <v>2.3833333333333333</v>
      </c>
      <c r="P13" s="76">
        <v>0</v>
      </c>
      <c r="Q13" s="76">
        <v>0</v>
      </c>
      <c r="R13" s="168" t="str">
        <f>INDEX('Base Maringá'!K$7:K$19,MATCH('Desl. Base Maringá'!C13,'Base Maringá'!B$7:B$19,0))</f>
        <v>NÃO</v>
      </c>
      <c r="S13" s="179">
        <v>1</v>
      </c>
    </row>
    <row r="14" spans="2:19" ht="15.75" customHeight="1">
      <c r="B14" s="216"/>
      <c r="C14" s="56" t="s">
        <v>95</v>
      </c>
      <c r="D14" s="213"/>
      <c r="E14" s="213"/>
      <c r="F14" s="213"/>
      <c r="G14" s="212"/>
      <c r="H14" s="213"/>
      <c r="I14" s="213"/>
      <c r="J14" s="213"/>
      <c r="K14" s="214"/>
      <c r="L14" s="215"/>
      <c r="M14" s="76">
        <v>0</v>
      </c>
      <c r="N14" s="214"/>
      <c r="O14" s="75">
        <f>O13</f>
        <v>2.3833333333333333</v>
      </c>
      <c r="P14" s="76">
        <v>0</v>
      </c>
      <c r="Q14" s="76">
        <v>0</v>
      </c>
      <c r="R14" s="168" t="str">
        <f>INDEX('Base Maringá'!K$7:K$19,MATCH('Desl. Base Maringá'!C14,'Base Maringá'!B$7:B$19,0))</f>
        <v>SIM</v>
      </c>
      <c r="S14" s="179">
        <v>1</v>
      </c>
    </row>
    <row r="15" spans="2:19" ht="15.75" customHeight="1">
      <c r="B15" s="216">
        <v>7</v>
      </c>
      <c r="C15" s="56" t="s">
        <v>92</v>
      </c>
      <c r="D15" s="213">
        <v>14.2</v>
      </c>
      <c r="E15" s="213">
        <f>80.6-D15</f>
        <v>66.399999999999991</v>
      </c>
      <c r="F15" s="213">
        <v>79.900000000000006</v>
      </c>
      <c r="G15" s="212">
        <f>SUM(D15:F16)</f>
        <v>160.5</v>
      </c>
      <c r="H15" s="213">
        <v>21</v>
      </c>
      <c r="I15" s="213">
        <f>77-H15</f>
        <v>56</v>
      </c>
      <c r="J15" s="213">
        <v>76</v>
      </c>
      <c r="K15" s="214">
        <f>SUM(H15:J16)</f>
        <v>153</v>
      </c>
      <c r="L15" s="215">
        <f>K15/60</f>
        <v>2.5499999999999998</v>
      </c>
      <c r="M15" s="76">
        <v>0</v>
      </c>
      <c r="N15" s="214">
        <v>2</v>
      </c>
      <c r="O15" s="75">
        <f>L15/N15</f>
        <v>1.2749999999999999</v>
      </c>
      <c r="P15" s="76">
        <v>0</v>
      </c>
      <c r="Q15" s="76">
        <v>0</v>
      </c>
      <c r="R15" s="168" t="str">
        <f>INDEX('Base Maringá'!K$7:K$19,MATCH('Desl. Base Maringá'!C15,'Base Maringá'!B$7:B$19,0))</f>
        <v>NÃO</v>
      </c>
      <c r="S15" s="179">
        <v>0</v>
      </c>
    </row>
    <row r="16" spans="2:19" ht="15.75" customHeight="1">
      <c r="B16" s="216"/>
      <c r="C16" s="56" t="s">
        <v>84</v>
      </c>
      <c r="D16" s="213"/>
      <c r="E16" s="213"/>
      <c r="F16" s="213"/>
      <c r="G16" s="212"/>
      <c r="H16" s="213"/>
      <c r="I16" s="213"/>
      <c r="J16" s="213"/>
      <c r="K16" s="214"/>
      <c r="L16" s="215"/>
      <c r="M16" s="76">
        <v>0</v>
      </c>
      <c r="N16" s="214"/>
      <c r="O16" s="75">
        <f>O15</f>
        <v>1.2749999999999999</v>
      </c>
      <c r="P16" s="76">
        <v>0</v>
      </c>
      <c r="Q16" s="76">
        <v>0</v>
      </c>
      <c r="R16" s="168" t="str">
        <f>INDEX('Base Maringá'!K$7:K$19,MATCH('Desl. Base Maringá'!C16,'Base Maringá'!B$7:B$19,0))</f>
        <v>NÃO</v>
      </c>
      <c r="S16" s="179">
        <v>0</v>
      </c>
    </row>
    <row r="17" spans="2:19" ht="15.75" customHeight="1">
      <c r="B17" s="71">
        <v>8</v>
      </c>
      <c r="C17" s="56" t="s">
        <v>82</v>
      </c>
      <c r="D17" s="72">
        <v>89.8</v>
      </c>
      <c r="E17" s="72">
        <v>90</v>
      </c>
      <c r="F17" s="72">
        <v>0</v>
      </c>
      <c r="G17" s="73">
        <f>SUM(D17:F17)</f>
        <v>179.8</v>
      </c>
      <c r="H17" s="72">
        <v>79</v>
      </c>
      <c r="I17" s="72">
        <v>77</v>
      </c>
      <c r="J17" s="72">
        <v>0</v>
      </c>
      <c r="K17" s="74">
        <f>SUM(H17:J17)</f>
        <v>156</v>
      </c>
      <c r="L17" s="75">
        <f>K17/60</f>
        <v>2.6</v>
      </c>
      <c r="M17" s="76">
        <v>0</v>
      </c>
      <c r="N17" s="74">
        <v>1</v>
      </c>
      <c r="O17" s="75">
        <f>L17</f>
        <v>2.6</v>
      </c>
      <c r="P17" s="76">
        <v>0</v>
      </c>
      <c r="Q17" s="76">
        <v>0</v>
      </c>
      <c r="R17" s="168" t="str">
        <f>INDEX('Base Maringá'!K$7:K$19,MATCH('Desl. Base Maringá'!C17,'Base Maringá'!B$7:B$19,0))</f>
        <v>SIM</v>
      </c>
      <c r="S17" s="179">
        <v>1</v>
      </c>
    </row>
    <row r="18" spans="2:19" ht="19.5" customHeight="1">
      <c r="B18" s="207" t="s">
        <v>98</v>
      </c>
      <c r="C18" s="207"/>
      <c r="D18" s="207"/>
      <c r="E18" s="207"/>
      <c r="F18" s="207"/>
      <c r="G18" s="78">
        <f>SUM(G5:G17)</f>
        <v>1170.0999999999999</v>
      </c>
      <c r="H18" s="208" t="s">
        <v>98</v>
      </c>
      <c r="I18" s="208"/>
      <c r="J18" s="208"/>
      <c r="K18" s="79">
        <f t="shared" ref="K18:Q18" si="0">SUM(K5:K17)</f>
        <v>1112</v>
      </c>
      <c r="L18" s="80">
        <f t="shared" si="0"/>
        <v>18.533333333333335</v>
      </c>
      <c r="M18" s="81">
        <f t="shared" si="0"/>
        <v>0</v>
      </c>
      <c r="N18" s="82">
        <f t="shared" si="0"/>
        <v>13</v>
      </c>
      <c r="O18" s="175">
        <f t="shared" si="0"/>
        <v>18.533333333333335</v>
      </c>
      <c r="P18" s="81">
        <f t="shared" si="0"/>
        <v>0</v>
      </c>
      <c r="Q18" s="81">
        <f t="shared" si="0"/>
        <v>0</v>
      </c>
      <c r="R18" s="81"/>
      <c r="S18" s="81"/>
    </row>
    <row r="19" spans="2:19" ht="16.5" customHeight="1">
      <c r="B19" s="83"/>
      <c r="C19" s="83"/>
      <c r="D19" s="83"/>
      <c r="E19" s="83"/>
      <c r="F19" s="83"/>
    </row>
    <row r="20" spans="2:19" ht="18.75" customHeight="1">
      <c r="B20" s="209" t="s">
        <v>118</v>
      </c>
      <c r="C20" s="209"/>
      <c r="D20" s="209"/>
      <c r="E20" s="209"/>
      <c r="F20" s="83"/>
      <c r="G20" s="83"/>
      <c r="H20" s="83"/>
      <c r="I20" s="83"/>
      <c r="J20" s="83"/>
      <c r="K20" s="83"/>
      <c r="L20" s="83"/>
      <c r="M20" s="83"/>
      <c r="N20" s="84"/>
      <c r="O20" s="84"/>
    </row>
    <row r="21" spans="2:19" ht="18.75" customHeight="1">
      <c r="B21" s="85" t="s">
        <v>119</v>
      </c>
      <c r="C21" s="85" t="s">
        <v>120</v>
      </c>
      <c r="D21" s="85" t="s">
        <v>121</v>
      </c>
      <c r="E21" s="85" t="s">
        <v>122</v>
      </c>
      <c r="F21" s="83"/>
      <c r="G21" s="83"/>
      <c r="H21" s="84"/>
      <c r="I21" s="84"/>
      <c r="J21" s="83"/>
      <c r="K21" s="83"/>
      <c r="L21" s="83"/>
      <c r="M21" s="83"/>
      <c r="N21" s="84"/>
      <c r="O21" s="84"/>
    </row>
    <row r="22" spans="2:19" ht="18.75" customHeight="1">
      <c r="B22" s="35" t="s">
        <v>123</v>
      </c>
      <c r="C22" s="86" t="s">
        <v>124</v>
      </c>
      <c r="D22" s="35" t="s">
        <v>125</v>
      </c>
      <c r="E22" s="87">
        <f>'Comp. Veículo'!D11</f>
        <v>56.78</v>
      </c>
      <c r="F22" s="83"/>
      <c r="G22" s="83"/>
      <c r="H22" s="88"/>
      <c r="I22" s="88"/>
      <c r="J22" s="83"/>
      <c r="K22" s="83"/>
      <c r="L22" s="83"/>
      <c r="M22" s="83"/>
      <c r="N22" s="84"/>
      <c r="O22" s="84"/>
    </row>
    <row r="23" spans="2:19" ht="18.75" customHeight="1">
      <c r="B23" s="89" t="s">
        <v>126</v>
      </c>
      <c r="C23" s="90" t="s">
        <v>124</v>
      </c>
      <c r="D23" s="89" t="s">
        <v>127</v>
      </c>
      <c r="E23" s="91">
        <f>'Comp. Veículo'!D27</f>
        <v>6.78</v>
      </c>
      <c r="F23" s="83"/>
      <c r="G23" s="83"/>
      <c r="H23" s="88"/>
      <c r="I23" s="88"/>
      <c r="J23" s="83"/>
      <c r="K23" s="83"/>
      <c r="L23" s="83"/>
      <c r="M23" s="83"/>
      <c r="N23" s="84"/>
      <c r="O23" s="84"/>
    </row>
    <row r="24" spans="2:19" ht="47.25" customHeight="1">
      <c r="B24" s="210" t="s">
        <v>128</v>
      </c>
      <c r="C24" s="210"/>
      <c r="D24" s="210"/>
      <c r="E24" s="210"/>
      <c r="F24" s="92"/>
      <c r="G24" s="92"/>
      <c r="H24" s="92"/>
      <c r="I24" s="92"/>
      <c r="J24" s="92"/>
      <c r="K24" s="92"/>
      <c r="L24" s="92"/>
      <c r="M24" s="83"/>
      <c r="N24" s="84"/>
      <c r="O24" s="84"/>
    </row>
    <row r="25" spans="2:19" ht="16.5" customHeight="1">
      <c r="B25" s="93"/>
      <c r="C25" s="93"/>
      <c r="D25" s="93"/>
      <c r="E25" s="93"/>
      <c r="F25" s="92"/>
      <c r="G25" s="92"/>
      <c r="H25" s="92"/>
      <c r="I25" s="92"/>
      <c r="J25" s="92"/>
      <c r="K25" s="92"/>
      <c r="L25" s="92"/>
      <c r="M25" s="83"/>
      <c r="N25" s="84"/>
      <c r="O25" s="84"/>
    </row>
    <row r="26" spans="2:19" ht="16.5" customHeight="1">
      <c r="B26" s="209" t="s">
        <v>129</v>
      </c>
      <c r="C26" s="209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4"/>
      <c r="O26" s="84"/>
    </row>
    <row r="27" spans="2:19" ht="16.5" customHeight="1">
      <c r="B27" s="35" t="s">
        <v>125</v>
      </c>
      <c r="C27" s="87">
        <f>E22*L18</f>
        <v>1052.3226666666667</v>
      </c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4"/>
      <c r="O27" s="84"/>
    </row>
    <row r="28" spans="2:19" ht="16.5" customHeight="1">
      <c r="B28" s="35" t="s">
        <v>127</v>
      </c>
      <c r="C28" s="87">
        <f>E23*('Base Maringá'!N20/12)</f>
        <v>297.416</v>
      </c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4"/>
      <c r="O28" s="84"/>
    </row>
    <row r="29" spans="2:19" ht="16.5" customHeight="1">
      <c r="B29" s="94" t="s">
        <v>27</v>
      </c>
      <c r="C29" s="95">
        <f>C27+C28</f>
        <v>1349.7386666666666</v>
      </c>
      <c r="D29" s="83"/>
      <c r="E29" s="83"/>
      <c r="F29" s="83"/>
      <c r="G29" s="83"/>
      <c r="H29" s="83"/>
      <c r="I29" s="83"/>
      <c r="M29" s="83"/>
      <c r="N29" s="84"/>
      <c r="O29" s="84"/>
    </row>
    <row r="30" spans="2:19" ht="16.5" customHeight="1">
      <c r="B30" s="83"/>
      <c r="C30" s="96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4"/>
      <c r="O30" s="84"/>
    </row>
    <row r="31" spans="2:19" ht="16.5" customHeight="1">
      <c r="B31" s="211" t="s">
        <v>130</v>
      </c>
      <c r="C31" s="211"/>
      <c r="D31" s="83"/>
      <c r="J31" s="83"/>
      <c r="K31" s="83"/>
      <c r="L31" s="83"/>
      <c r="M31" s="83"/>
      <c r="N31" s="84"/>
      <c r="O31" s="84"/>
    </row>
    <row r="32" spans="2:19" ht="16.5" customHeight="1">
      <c r="B32" s="97" t="s">
        <v>122</v>
      </c>
      <c r="C32" s="98">
        <f>SUM(M5:M17)</f>
        <v>0</v>
      </c>
      <c r="J32" s="83"/>
      <c r="K32" s="83"/>
      <c r="L32" s="83"/>
      <c r="M32" s="83"/>
      <c r="N32" s="84"/>
      <c r="O32" s="84"/>
    </row>
    <row r="33" spans="2:15" ht="16.5" customHeight="1">
      <c r="B33" s="83"/>
      <c r="C33" s="99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4"/>
      <c r="O33" s="84"/>
    </row>
    <row r="34" spans="2:15">
      <c r="B34" s="205" t="s">
        <v>66</v>
      </c>
      <c r="C34" s="205"/>
      <c r="D34" s="205"/>
      <c r="E34" s="205"/>
    </row>
    <row r="35" spans="2:15">
      <c r="B35" s="100" t="s">
        <v>131</v>
      </c>
      <c r="C35" s="100" t="s">
        <v>120</v>
      </c>
      <c r="D35" s="100" t="s">
        <v>121</v>
      </c>
      <c r="E35" s="100" t="s">
        <v>122</v>
      </c>
    </row>
    <row r="36" spans="2:15" ht="25.5">
      <c r="B36" s="89" t="s">
        <v>132</v>
      </c>
      <c r="C36" s="101" t="s">
        <v>133</v>
      </c>
      <c r="D36" s="89" t="s">
        <v>134</v>
      </c>
      <c r="E36" s="91">
        <v>139.4</v>
      </c>
    </row>
    <row r="37" spans="2:15">
      <c r="B37" s="206" t="s">
        <v>135</v>
      </c>
      <c r="C37" s="206"/>
      <c r="D37" s="206"/>
      <c r="E37" s="206"/>
    </row>
  </sheetData>
  <mergeCells count="64">
    <mergeCell ref="L11:L12"/>
    <mergeCell ref="N11:N12"/>
    <mergeCell ref="K9:K10"/>
    <mergeCell ref="L9:L10"/>
    <mergeCell ref="N9:N10"/>
    <mergeCell ref="G11:G12"/>
    <mergeCell ref="H11:H12"/>
    <mergeCell ref="I11:I12"/>
    <mergeCell ref="J11:J12"/>
    <mergeCell ref="K7:K8"/>
    <mergeCell ref="G7:G8"/>
    <mergeCell ref="H7:H8"/>
    <mergeCell ref="I7:I8"/>
    <mergeCell ref="K11:K12"/>
    <mergeCell ref="B2:S2"/>
    <mergeCell ref="B7:B8"/>
    <mergeCell ref="B9:B10"/>
    <mergeCell ref="D9:D10"/>
    <mergeCell ref="E9:E10"/>
    <mergeCell ref="F9:F10"/>
    <mergeCell ref="G9:G10"/>
    <mergeCell ref="H9:H10"/>
    <mergeCell ref="I9:I10"/>
    <mergeCell ref="J9:J10"/>
    <mergeCell ref="D7:D8"/>
    <mergeCell ref="E7:E8"/>
    <mergeCell ref="N7:N8"/>
    <mergeCell ref="J7:J8"/>
    <mergeCell ref="L7:L8"/>
    <mergeCell ref="F7:F8"/>
    <mergeCell ref="F13:F14"/>
    <mergeCell ref="B11:B12"/>
    <mergeCell ref="D11:D12"/>
    <mergeCell ref="E11:E12"/>
    <mergeCell ref="F11:F12"/>
    <mergeCell ref="L13:L14"/>
    <mergeCell ref="N13:N14"/>
    <mergeCell ref="B15:B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N15:N16"/>
    <mergeCell ref="B13:B14"/>
    <mergeCell ref="D13:D14"/>
    <mergeCell ref="E13:E14"/>
    <mergeCell ref="G13:G14"/>
    <mergeCell ref="H13:H14"/>
    <mergeCell ref="I13:I14"/>
    <mergeCell ref="J13:J14"/>
    <mergeCell ref="K13:K14"/>
    <mergeCell ref="B34:E34"/>
    <mergeCell ref="B37:E37"/>
    <mergeCell ref="B18:F18"/>
    <mergeCell ref="H18:J18"/>
    <mergeCell ref="B20:E20"/>
    <mergeCell ref="B24:E24"/>
    <mergeCell ref="B26:C26"/>
    <mergeCell ref="B31:C31"/>
  </mergeCells>
  <printOptions horizontalCentered="1" verticalCentered="1"/>
  <pageMargins left="0.78749999999999998" right="0.78749999999999998" top="0.196527777777778" bottom="0.196527777777778" header="0.511811023622047" footer="0.511811023622047"/>
  <pageSetup paperSize="9" pageOrder="overThenDown" orientation="portrait" useFirstPageNumber="1" horizontalDpi="300" verticalDpi="300"/>
  <ignoredErrors>
    <ignoredError sqref="K5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F538B-A2CE-4D06-8CAF-441197C4AC55}">
  <sheetPr>
    <tabColor theme="9" tint="0.79998168889431442"/>
  </sheetPr>
  <dimension ref="B1:IV24"/>
  <sheetViews>
    <sheetView showGridLines="0" zoomScale="110" zoomScaleNormal="110" workbookViewId="0">
      <selection activeCell="E22" sqref="E22"/>
    </sheetView>
  </sheetViews>
  <sheetFormatPr defaultColWidth="10.5" defaultRowHeight="14.25"/>
  <cols>
    <col min="1" max="1" width="5.625" customWidth="1"/>
    <col min="2" max="2" width="33.625" style="11" customWidth="1"/>
    <col min="3" max="15" width="12.625" style="11" customWidth="1"/>
    <col min="16" max="16" width="8.375" style="11" customWidth="1"/>
    <col min="17" max="17" width="33" style="11" customWidth="1"/>
    <col min="18" max="33" width="11.5" style="11" customWidth="1"/>
    <col min="34" max="34" width="11" style="11" customWidth="1"/>
    <col min="35" max="35" width="33" style="11" customWidth="1"/>
    <col min="36" max="36" width="10.625" style="11" customWidth="1"/>
    <col min="37" max="40" width="11.75" style="11" customWidth="1"/>
    <col min="41" max="41" width="11.375" style="11" customWidth="1"/>
    <col min="42" max="43" width="12.875" style="11" customWidth="1"/>
    <col min="44" max="44" width="3.375" style="11" customWidth="1"/>
    <col min="45" max="45" width="28.125" style="11" customWidth="1"/>
    <col min="46" max="46" width="12.75" style="11" customWidth="1"/>
    <col min="47" max="49" width="11.75" style="11" customWidth="1"/>
    <col min="50" max="256" width="10.625" style="11" customWidth="1"/>
    <col min="1013" max="1024" width="8.5" customWidth="1"/>
  </cols>
  <sheetData>
    <row r="1" spans="2:49" ht="15" customHeight="1"/>
    <row r="2" spans="2:49" s="38" customFormat="1" ht="24.75" customHeight="1">
      <c r="B2" s="202" t="str">
        <f>"BASE "&amp;Resumo!B6&amp;" - PLANILHA DE FORMAÇÃO DE PREÇOS"</f>
        <v>BASE CASCAVEL - PLANILHA DE FORMAÇÃO DE PREÇOS</v>
      </c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39"/>
      <c r="Q2" s="194" t="str">
        <f>"BASE "&amp;Resumo!B6&amp;" – PLANILHA DE DISTRIBUIÇÃO DE CUSTOS POR UNIDADE"</f>
        <v>BASE CASCAVEL – PLANILHA DE DISTRIBUIÇÃO DE CUSTOS POR UNIDADE</v>
      </c>
      <c r="R2" s="194"/>
      <c r="S2" s="194"/>
      <c r="T2" s="194"/>
      <c r="U2" s="194"/>
      <c r="V2" s="194"/>
      <c r="W2" s="194"/>
      <c r="X2" s="194"/>
      <c r="Y2" s="194"/>
      <c r="Z2" s="194"/>
      <c r="AA2" s="194"/>
      <c r="AB2" s="194"/>
      <c r="AC2" s="194"/>
      <c r="AD2" s="194"/>
      <c r="AE2" s="194"/>
      <c r="AF2" s="194"/>
      <c r="AG2" s="194"/>
      <c r="AH2" s="40"/>
      <c r="AI2" s="203" t="str">
        <f>"BASE "&amp;Resumo!B6&amp;" – PLANILHA RESUMO DE CUSTOS DA BASE"</f>
        <v>BASE CASCAVEL – PLANILHA RESUMO DE CUSTOS DA BASE</v>
      </c>
      <c r="AJ2" s="203"/>
      <c r="AK2" s="203"/>
      <c r="AL2" s="203"/>
      <c r="AM2" s="203"/>
      <c r="AN2" s="203"/>
      <c r="AO2" s="203"/>
      <c r="AP2" s="203"/>
      <c r="AQ2" s="203"/>
      <c r="AR2" s="203"/>
      <c r="AS2" s="203"/>
      <c r="AT2" s="203"/>
      <c r="AU2" s="203"/>
      <c r="AV2" s="203"/>
      <c r="AW2" s="203"/>
    </row>
    <row r="3" spans="2:49" ht="15" customHeight="1">
      <c r="B3" s="38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</row>
    <row r="4" spans="2:49" s="24" customFormat="1" ht="19.5" customHeight="1">
      <c r="B4" s="197" t="s">
        <v>40</v>
      </c>
      <c r="C4" s="197" t="s">
        <v>41</v>
      </c>
      <c r="D4" s="197"/>
      <c r="E4" s="197"/>
      <c r="F4" s="197"/>
      <c r="G4" s="197"/>
      <c r="H4" s="197" t="s">
        <v>42</v>
      </c>
      <c r="I4" s="197"/>
      <c r="J4" s="197"/>
      <c r="K4" s="197"/>
      <c r="L4" s="197"/>
      <c r="M4" s="197"/>
      <c r="N4" s="197"/>
      <c r="O4" s="197" t="s">
        <v>27</v>
      </c>
      <c r="P4" s="39"/>
      <c r="Q4" s="197" t="s">
        <v>43</v>
      </c>
      <c r="R4" s="199" t="s">
        <v>44</v>
      </c>
      <c r="S4" s="199"/>
      <c r="T4" s="199"/>
      <c r="U4" s="199"/>
      <c r="V4" s="199" t="s">
        <v>45</v>
      </c>
      <c r="W4" s="199"/>
      <c r="X4" s="199"/>
      <c r="Y4" s="199"/>
      <c r="Z4" s="199" t="s">
        <v>46</v>
      </c>
      <c r="AA4" s="199"/>
      <c r="AB4" s="199"/>
      <c r="AC4" s="199"/>
      <c r="AD4" s="199" t="s">
        <v>47</v>
      </c>
      <c r="AE4" s="199"/>
      <c r="AF4" s="199"/>
      <c r="AG4" s="199"/>
      <c r="AI4" s="197" t="s">
        <v>43</v>
      </c>
      <c r="AJ4" s="204" t="s">
        <v>48</v>
      </c>
      <c r="AK4" s="204"/>
      <c r="AL4" s="204"/>
      <c r="AM4" s="204"/>
      <c r="AN4" s="204"/>
      <c r="AO4" s="204" t="s">
        <v>49</v>
      </c>
      <c r="AP4" s="204"/>
      <c r="AQ4" s="204"/>
      <c r="AR4" s="42"/>
      <c r="AS4" s="204" t="str">
        <f>"Resumo de Custos da Base "&amp;Resumo!B6</f>
        <v>Resumo de Custos da Base CASCAVEL</v>
      </c>
      <c r="AT4" s="204"/>
      <c r="AU4" s="204"/>
      <c r="AV4" s="204"/>
      <c r="AW4" s="204"/>
    </row>
    <row r="5" spans="2:49" ht="39.75" customHeight="1">
      <c r="B5" s="197"/>
      <c r="C5" s="1" t="s">
        <v>27</v>
      </c>
      <c r="D5" s="1" t="s">
        <v>50</v>
      </c>
      <c r="E5" s="1" t="s">
        <v>51</v>
      </c>
      <c r="F5" s="1" t="s">
        <v>52</v>
      </c>
      <c r="G5" s="197" t="s">
        <v>53</v>
      </c>
      <c r="H5" s="1" t="s">
        <v>54</v>
      </c>
      <c r="I5" s="1" t="s">
        <v>55</v>
      </c>
      <c r="J5" s="1" t="s">
        <v>56</v>
      </c>
      <c r="K5" s="1" t="s">
        <v>57</v>
      </c>
      <c r="L5" s="1" t="s">
        <v>58</v>
      </c>
      <c r="M5" s="1" t="s">
        <v>59</v>
      </c>
      <c r="N5" s="197" t="s">
        <v>60</v>
      </c>
      <c r="O5" s="197"/>
      <c r="P5" s="39"/>
      <c r="Q5" s="197"/>
      <c r="R5" s="1" t="s">
        <v>61</v>
      </c>
      <c r="S5" s="1" t="s">
        <v>62</v>
      </c>
      <c r="T5" s="1" t="s">
        <v>63</v>
      </c>
      <c r="U5" s="1" t="s">
        <v>64</v>
      </c>
      <c r="V5" s="197" t="s">
        <v>65</v>
      </c>
      <c r="W5" s="197" t="s">
        <v>66</v>
      </c>
      <c r="X5" s="197" t="s">
        <v>67</v>
      </c>
      <c r="Y5" s="197" t="s">
        <v>68</v>
      </c>
      <c r="Z5" s="197" t="s">
        <v>69</v>
      </c>
      <c r="AA5" s="197"/>
      <c r="AB5" s="197"/>
      <c r="AC5" s="1">
        <f>N19+'Base Maringá'!N20</f>
        <v>1028.6499999999999</v>
      </c>
      <c r="AD5" s="199" t="s">
        <v>61</v>
      </c>
      <c r="AE5" s="199" t="s">
        <v>62</v>
      </c>
      <c r="AF5" s="199" t="s">
        <v>63</v>
      </c>
      <c r="AG5" s="199" t="s">
        <v>64</v>
      </c>
      <c r="AI5" s="197"/>
      <c r="AJ5" s="199" t="s">
        <v>70</v>
      </c>
      <c r="AK5" s="199" t="s">
        <v>61</v>
      </c>
      <c r="AL5" s="199" t="s">
        <v>62</v>
      </c>
      <c r="AM5" s="199" t="s">
        <v>63</v>
      </c>
      <c r="AN5" s="199" t="s">
        <v>64</v>
      </c>
      <c r="AO5" s="199" t="s">
        <v>71</v>
      </c>
      <c r="AP5" s="200" t="s">
        <v>72</v>
      </c>
      <c r="AQ5" s="199" t="s">
        <v>73</v>
      </c>
      <c r="AR5" s="40"/>
      <c r="AS5" s="199" t="s">
        <v>74</v>
      </c>
      <c r="AT5" s="41" t="s">
        <v>61</v>
      </c>
      <c r="AU5" s="41" t="s">
        <v>62</v>
      </c>
      <c r="AV5" s="41" t="s">
        <v>63</v>
      </c>
      <c r="AW5" s="41" t="s">
        <v>64</v>
      </c>
    </row>
    <row r="6" spans="2:49" ht="19.5" customHeight="1">
      <c r="B6" s="197"/>
      <c r="C6" s="43" t="s">
        <v>75</v>
      </c>
      <c r="D6" s="43">
        <v>1</v>
      </c>
      <c r="E6" s="43">
        <v>0.35</v>
      </c>
      <c r="F6" s="43">
        <v>0.1</v>
      </c>
      <c r="G6" s="197"/>
      <c r="H6" s="43">
        <v>1</v>
      </c>
      <c r="I6" s="43">
        <v>1.2</v>
      </c>
      <c r="J6" s="43">
        <v>2</v>
      </c>
      <c r="K6" s="43">
        <v>4</v>
      </c>
      <c r="L6" s="43">
        <v>1.1000000000000001</v>
      </c>
      <c r="M6" s="43">
        <v>1.1000000000000001</v>
      </c>
      <c r="N6" s="197"/>
      <c r="O6" s="197"/>
      <c r="P6" s="44"/>
      <c r="Q6" s="197"/>
      <c r="R6" s="43" t="s">
        <v>76</v>
      </c>
      <c r="S6" s="43" t="s">
        <v>77</v>
      </c>
      <c r="T6" s="43" t="s">
        <v>78</v>
      </c>
      <c r="U6" s="43" t="s">
        <v>79</v>
      </c>
      <c r="V6" s="197"/>
      <c r="W6" s="197"/>
      <c r="X6" s="197"/>
      <c r="Y6" s="197"/>
      <c r="Z6" s="26" t="s">
        <v>61</v>
      </c>
      <c r="AA6" s="26" t="s">
        <v>62</v>
      </c>
      <c r="AB6" s="26" t="s">
        <v>63</v>
      </c>
      <c r="AC6" s="26" t="s">
        <v>64</v>
      </c>
      <c r="AD6" s="199"/>
      <c r="AE6" s="199"/>
      <c r="AF6" s="199"/>
      <c r="AG6" s="199"/>
      <c r="AI6" s="197"/>
      <c r="AJ6" s="199"/>
      <c r="AK6" s="199"/>
      <c r="AL6" s="199"/>
      <c r="AM6" s="199"/>
      <c r="AN6" s="199"/>
      <c r="AO6" s="199"/>
      <c r="AP6" s="201"/>
      <c r="AQ6" s="199"/>
      <c r="AR6" s="45"/>
      <c r="AS6" s="199"/>
      <c r="AT6" s="26" t="s">
        <v>76</v>
      </c>
      <c r="AU6" s="26" t="s">
        <v>77</v>
      </c>
      <c r="AV6" s="26" t="s">
        <v>78</v>
      </c>
      <c r="AW6" s="26" t="s">
        <v>79</v>
      </c>
    </row>
    <row r="7" spans="2:49" s="3" customFormat="1" ht="15" customHeight="1">
      <c r="B7" s="165" t="s">
        <v>136</v>
      </c>
      <c r="C7" s="47">
        <f>VLOOKUP($B7,Unidades!$D$5:$N$29,6,FALSE())</f>
        <v>851.2</v>
      </c>
      <c r="D7" s="47">
        <f>VLOOKUP($B7,Unidades!$D$5:$N$29,7,FALSE())</f>
        <v>425.6</v>
      </c>
      <c r="E7" s="47">
        <f>VLOOKUP($B7,Unidades!$D$5:$N$29,8,FALSE())</f>
        <v>42.56</v>
      </c>
      <c r="F7" s="47">
        <f>VLOOKUP($B7,Unidades!$D$5:$N$29,9,FALSE())</f>
        <v>383.04</v>
      </c>
      <c r="G7" s="47">
        <f t="shared" ref="G7:G18" si="0">D7+E7*$E$6+F7*$F$6</f>
        <v>478.80000000000007</v>
      </c>
      <c r="H7" s="48">
        <f t="shared" ref="H7:H18" si="1">IF(G7&lt;750,1.5,IF(G7&lt;2000,2,IF(G7&lt;4000,3,12)))</f>
        <v>1.5</v>
      </c>
      <c r="I7" s="48">
        <f t="shared" ref="I7:I18" si="2">$I$6*H7</f>
        <v>1.7999999999999998</v>
      </c>
      <c r="J7" s="48" t="str">
        <f>VLOOKUP($B7,Unidades!$D$5:$N$29,10,FALSE())</f>
        <v>SIM</v>
      </c>
      <c r="K7" s="48" t="str">
        <f>VLOOKUP($B7,Unidades!$D$5:$N$29,11,FALSE())</f>
        <v>SIM</v>
      </c>
      <c r="L7" s="48">
        <f t="shared" ref="L7:L18" si="3">$L$6*H7+(IF(J7="SIM",$J$6,0))</f>
        <v>3.6500000000000004</v>
      </c>
      <c r="M7" s="48">
        <f t="shared" ref="M7:M18" si="4">$M$6*H7+(IF(J7="SIM",$J$6,0))+(IF(K7="SIM",$K$6,0))</f>
        <v>7.65</v>
      </c>
      <c r="N7" s="48">
        <f t="shared" ref="N7:N18" si="5">H7*12+I7*4+L7*2+M7</f>
        <v>40.15</v>
      </c>
      <c r="O7" s="49">
        <f t="shared" ref="O7:O18" si="6">IF(K7="não", N7*(C$22+D$22),N7*(C$22+D$22)+(M7*+E$22))</f>
        <v>3052.0326630499999</v>
      </c>
      <c r="P7" s="50"/>
      <c r="Q7" s="16" t="str">
        <f t="shared" ref="Q7:Q18" si="7">B7</f>
        <v>APS GOIOERÊ</v>
      </c>
      <c r="R7" s="18">
        <f t="shared" ref="R7:R18" si="8">H7*($C$22+$D$22)</f>
        <v>101.33683049999999</v>
      </c>
      <c r="S7" s="18">
        <f t="shared" ref="S7:S18" si="9">I7*($C$22+$D$22)</f>
        <v>121.60419659999998</v>
      </c>
      <c r="T7" s="18">
        <f t="shared" ref="T7:T18" si="10">L7*($C$22+$D$22)</f>
        <v>246.58628755000001</v>
      </c>
      <c r="U7" s="18">
        <f t="shared" ref="U7:U18" si="11">IF(K7="não",M7*($C$22+$D$22),M7*(C$22+D$22+E$22))</f>
        <v>856.40133555</v>
      </c>
      <c r="V7" s="18">
        <f>VLOOKUP(Q7,'Desl. Base Cascavel'!$C$5:$S$16,13,FALSE())*($C$22+$D$22+$E$22*(VLOOKUP(Q7,'Desl. Base Cascavel'!$C$5:$S$16,17,FALSE())/12))</f>
        <v>144.88934245555555</v>
      </c>
      <c r="W7" s="18">
        <f>VLOOKUP(Q7,'Desl. Base Cascavel'!$C$5:$S$16,15,FALSE())*(2+(VLOOKUP(Q7,'Desl. Base Cascavel'!$C$5:$S$16,17,FALSE())/12))</f>
        <v>0</v>
      </c>
      <c r="X7" s="18">
        <f>VLOOKUP(Q7,'Desl. Base Cascavel'!$C$5:$Q$16,14,FALSE())</f>
        <v>0</v>
      </c>
      <c r="Y7" s="18">
        <f>VLOOKUP(Q7,'Desl. Base Cascavel'!$C$5:$Q$16,13,FALSE())*'Desl. Base Cascavel'!$E$21+'Desl. Base Cascavel'!$E$22*N7/12</f>
        <v>138.13741666666667</v>
      </c>
      <c r="Z7" s="18">
        <f>(H7/$AC$5)*'Equipe Técnica'!$C$13</f>
        <v>310.47773737341339</v>
      </c>
      <c r="AA7" s="18">
        <f>(I7/$AC$5)*'Equipe Técnica'!$C$13</f>
        <v>372.57328484809602</v>
      </c>
      <c r="AB7" s="18">
        <f>(L7/$AC$5)*'Equipe Técnica'!$C$13</f>
        <v>755.49582760863939</v>
      </c>
      <c r="AC7" s="18">
        <f>(M7/$AC$5)*'Equipe Técnica'!$C$13</f>
        <v>1583.4364606044085</v>
      </c>
      <c r="AD7" s="18">
        <f t="shared" ref="AD7:AD18" si="12">R7+(($V7+$W7+$X7+$Y7)*12/19)+$Z7</f>
        <v>590.56831047692208</v>
      </c>
      <c r="AE7" s="18">
        <f t="shared" ref="AE7:AE18" si="13">S7+(($V7+$W7+$X7+$Y7)*12/19)+$AA7</f>
        <v>672.93122405160477</v>
      </c>
      <c r="AF7" s="18">
        <f t="shared" ref="AF7:AF18" si="14">T7+(($V7+$W7+$X7+$Y7)*12/19)+$AB7</f>
        <v>1180.8358577621482</v>
      </c>
      <c r="AG7" s="18">
        <f t="shared" ref="AG7:AG18" si="15">U7+(($V7+$W7+$X7+$Y7)*12/19)+$AC7</f>
        <v>2618.5915387579171</v>
      </c>
      <c r="AI7" s="16" t="str">
        <f t="shared" ref="AI7:AI18" si="16">B7</f>
        <v>APS GOIOERÊ</v>
      </c>
      <c r="AJ7" s="51">
        <f>VLOOKUP(AI7,Unidades!D$5:H$29,5,)</f>
        <v>0.2223</v>
      </c>
      <c r="AK7" s="33">
        <f t="shared" ref="AK7:AN18" si="17">AD7*(1+$AJ7)</f>
        <v>721.85164589594183</v>
      </c>
      <c r="AL7" s="33">
        <f t="shared" si="17"/>
        <v>822.52383515827648</v>
      </c>
      <c r="AM7" s="33">
        <f t="shared" si="17"/>
        <v>1443.3356689426737</v>
      </c>
      <c r="AN7" s="33">
        <f t="shared" si="17"/>
        <v>3200.704437823802</v>
      </c>
      <c r="AO7" s="33">
        <f t="shared" ref="AO7:AO18" si="18">((AK7*12)+(AL7*4)+(AM7*2)+AN7)/12</f>
        <v>1503.3075722577962</v>
      </c>
      <c r="AP7" s="33">
        <f>AO7*3</f>
        <v>4509.9227167733889</v>
      </c>
      <c r="AQ7" s="33">
        <f t="shared" ref="AQ7:AQ18" si="19">AO7+AP7</f>
        <v>6013.2302890311848</v>
      </c>
      <c r="AR7" s="52"/>
      <c r="AS7" s="53" t="s">
        <v>81</v>
      </c>
      <c r="AT7" s="33">
        <f>AK19</f>
        <v>9989.9287747477065</v>
      </c>
      <c r="AU7" s="33">
        <f>AL19</f>
        <v>11516.245343948298</v>
      </c>
      <c r="AV7" s="33">
        <f>AM19</f>
        <v>14144.901657571536</v>
      </c>
      <c r="AW7" s="33">
        <f>AN19</f>
        <v>23146.574466425842</v>
      </c>
    </row>
    <row r="8" spans="2:49" s="3" customFormat="1" ht="15" customHeight="1">
      <c r="B8" s="165" t="s">
        <v>137</v>
      </c>
      <c r="C8" s="47">
        <f>VLOOKUP($B8,Unidades!$D$5:$N$29,6,FALSE())</f>
        <v>1362.95</v>
      </c>
      <c r="D8" s="47">
        <f>VLOOKUP($B8,Unidades!$D$5:$N$29,7,FALSE())</f>
        <v>930.36</v>
      </c>
      <c r="E8" s="47">
        <f>VLOOKUP($B8,Unidades!$D$5:$N$29,8,FALSE())</f>
        <v>268.62</v>
      </c>
      <c r="F8" s="47">
        <f>VLOOKUP($B8,Unidades!$D$5:$N$29,9,FALSE())</f>
        <v>163.97</v>
      </c>
      <c r="G8" s="47">
        <f t="shared" si="0"/>
        <v>1040.7739999999999</v>
      </c>
      <c r="H8" s="48">
        <f t="shared" si="1"/>
        <v>2</v>
      </c>
      <c r="I8" s="48">
        <f t="shared" si="2"/>
        <v>2.4</v>
      </c>
      <c r="J8" s="48" t="str">
        <f>VLOOKUP($B8,Unidades!$D$5:$N$29,10,FALSE())</f>
        <v>SIM</v>
      </c>
      <c r="K8" s="48" t="str">
        <f>VLOOKUP($B8,Unidades!$D$5:$N$29,11,FALSE())</f>
        <v>NÃO</v>
      </c>
      <c r="L8" s="48">
        <f t="shared" si="3"/>
        <v>4.2</v>
      </c>
      <c r="M8" s="48">
        <f t="shared" si="4"/>
        <v>4.2</v>
      </c>
      <c r="N8" s="48">
        <f t="shared" si="5"/>
        <v>46.2</v>
      </c>
      <c r="O8" s="49">
        <f t="shared" si="6"/>
        <v>3121.1743793999999</v>
      </c>
      <c r="P8" s="50"/>
      <c r="Q8" s="16" t="str">
        <f t="shared" si="7"/>
        <v>GEX CASCAVEL</v>
      </c>
      <c r="R8" s="18">
        <f t="shared" si="8"/>
        <v>135.11577399999999</v>
      </c>
      <c r="S8" s="18">
        <f t="shared" si="9"/>
        <v>162.13892879999997</v>
      </c>
      <c r="T8" s="18">
        <f t="shared" si="10"/>
        <v>283.7431254</v>
      </c>
      <c r="U8" s="18">
        <f t="shared" si="11"/>
        <v>283.7431254</v>
      </c>
      <c r="V8" s="18">
        <f>VLOOKUP(Q8,'Desl. Base Cascavel'!$C$5:$S$16,13,FALSE())*($C$22+$D$22+$E$22*(VLOOKUP(Q8,'Desl. Base Cascavel'!$C$5:$S$16,17,FALSE())/12))</f>
        <v>0</v>
      </c>
      <c r="W8" s="18">
        <f>VLOOKUP(Q8,'Desl. Base Cascavel'!$C$5:$S$16,15,FALSE())*(2+(VLOOKUP(Q8,'Desl. Base Cascavel'!$C$5:$S$16,17,FALSE())/12))</f>
        <v>0</v>
      </c>
      <c r="X8" s="18">
        <f>VLOOKUP(Q8,'Desl. Base Cascavel'!$C$5:$Q$16,14,FALSE())</f>
        <v>0</v>
      </c>
      <c r="Y8" s="18">
        <f>VLOOKUP(Q8,'Desl. Base Cascavel'!$C$5:$Q$16,13,FALSE())*'Desl. Base Cascavel'!$E$21+'Desl. Base Cascavel'!$E$22*N8/12</f>
        <v>26.103000000000005</v>
      </c>
      <c r="Z8" s="18">
        <f>(H8/$AC$5)*'Equipe Técnica'!$C$13</f>
        <v>413.97031649788454</v>
      </c>
      <c r="AA8" s="18">
        <f>(I8/$AC$5)*'Equipe Técnica'!$C$13</f>
        <v>496.7643797974614</v>
      </c>
      <c r="AB8" s="18">
        <f>(L8/$AC$5)*'Equipe Técnica'!$C$13</f>
        <v>869.33766464555754</v>
      </c>
      <c r="AC8" s="18">
        <f>(M8/$AC$5)*'Equipe Técnica'!$C$13</f>
        <v>869.33766464555754</v>
      </c>
      <c r="AD8" s="18">
        <f t="shared" si="12"/>
        <v>565.57219576104239</v>
      </c>
      <c r="AE8" s="18">
        <f t="shared" si="13"/>
        <v>675.38941386061924</v>
      </c>
      <c r="AF8" s="18">
        <f t="shared" si="14"/>
        <v>1169.5668953087154</v>
      </c>
      <c r="AG8" s="18">
        <f t="shared" si="15"/>
        <v>1169.5668953087154</v>
      </c>
      <c r="AI8" s="16" t="str">
        <f t="shared" si="16"/>
        <v>GEX CASCAVEL</v>
      </c>
      <c r="AJ8" s="51">
        <f>VLOOKUP(AI8,Unidades!D$5:H$29,5,)</f>
        <v>0.2354</v>
      </c>
      <c r="AK8" s="33">
        <f t="shared" si="17"/>
        <v>698.70789064319183</v>
      </c>
      <c r="AL8" s="33">
        <f t="shared" si="17"/>
        <v>834.37608188340903</v>
      </c>
      <c r="AM8" s="33">
        <f t="shared" si="17"/>
        <v>1444.882942464387</v>
      </c>
      <c r="AN8" s="33">
        <f t="shared" si="17"/>
        <v>1444.882942464387</v>
      </c>
      <c r="AO8" s="33">
        <f t="shared" si="18"/>
        <v>1338.0539868870917</v>
      </c>
      <c r="AP8" s="33">
        <f t="shared" ref="AP8:AP18" si="20">AO8*3</f>
        <v>4014.1619606612749</v>
      </c>
      <c r="AQ8" s="33">
        <f t="shared" si="19"/>
        <v>5352.2159475483668</v>
      </c>
      <c r="AR8" s="52"/>
      <c r="AS8" s="53" t="s">
        <v>83</v>
      </c>
      <c r="AT8" s="33">
        <f>AT7*12</f>
        <v>119879.14529697248</v>
      </c>
      <c r="AU8" s="33">
        <f>AU7*4</f>
        <v>46064.981375793192</v>
      </c>
      <c r="AV8" s="33">
        <f>AV7*2</f>
        <v>28289.803315143072</v>
      </c>
      <c r="AW8" s="33">
        <f>AW7</f>
        <v>23146.574466425842</v>
      </c>
    </row>
    <row r="9" spans="2:49" s="3" customFormat="1" ht="15" customHeight="1">
      <c r="B9" s="165" t="s">
        <v>138</v>
      </c>
      <c r="C9" s="47">
        <f>VLOOKUP($B9,Unidades!$D$5:$N$29,6,FALSE())</f>
        <v>3298.13</v>
      </c>
      <c r="D9" s="47">
        <f>VLOOKUP($B9,Unidades!$D$5:$N$29,7,FALSE())</f>
        <v>1621.17</v>
      </c>
      <c r="E9" s="47">
        <f>VLOOKUP($B9,Unidades!$D$5:$N$29,8,FALSE())</f>
        <v>1676.96</v>
      </c>
      <c r="F9" s="47">
        <f>VLOOKUP($B9,Unidades!$D$5:$N$29,9,FALSE())</f>
        <v>0</v>
      </c>
      <c r="G9" s="47">
        <f t="shared" si="0"/>
        <v>2208.1059999999998</v>
      </c>
      <c r="H9" s="48">
        <f t="shared" si="1"/>
        <v>3</v>
      </c>
      <c r="I9" s="48">
        <f t="shared" si="2"/>
        <v>3.5999999999999996</v>
      </c>
      <c r="J9" s="48" t="str">
        <f>VLOOKUP($B9,Unidades!$D$5:$N$29,10,FALSE())</f>
        <v>SIM</v>
      </c>
      <c r="K9" s="48" t="str">
        <f>VLOOKUP($B9,Unidades!$D$5:$N$29,11,FALSE())</f>
        <v>SIM</v>
      </c>
      <c r="L9" s="48">
        <f t="shared" si="3"/>
        <v>5.3000000000000007</v>
      </c>
      <c r="M9" s="48">
        <f t="shared" si="4"/>
        <v>9.3000000000000007</v>
      </c>
      <c r="N9" s="48">
        <f t="shared" si="5"/>
        <v>70.3</v>
      </c>
      <c r="O9" s="49">
        <f t="shared" si="6"/>
        <v>5162.1464560999993</v>
      </c>
      <c r="P9" s="50"/>
      <c r="Q9" s="16" t="str">
        <f t="shared" si="7"/>
        <v>APS CASCAVEL</v>
      </c>
      <c r="R9" s="18">
        <f t="shared" si="8"/>
        <v>202.67366099999998</v>
      </c>
      <c r="S9" s="18">
        <f t="shared" si="9"/>
        <v>243.20839319999996</v>
      </c>
      <c r="T9" s="18">
        <f t="shared" si="10"/>
        <v>358.05680110000003</v>
      </c>
      <c r="U9" s="18">
        <f t="shared" si="11"/>
        <v>1041.1153491</v>
      </c>
      <c r="V9" s="18">
        <f>VLOOKUP(Q9,'Desl. Base Cascavel'!$C$5:$S$16,13,FALSE())*($C$22+$D$22+$E$22*(VLOOKUP(Q9,'Desl. Base Cascavel'!$C$5:$S$16,17,FALSE())/12))</f>
        <v>4.7504702444444442</v>
      </c>
      <c r="W9" s="18">
        <f>VLOOKUP(Q9,'Desl. Base Cascavel'!$C$5:$S$16,15,FALSE())*(2+(VLOOKUP(Q9,'Desl. Base Cascavel'!$C$5:$S$16,17,FALSE())/12))</f>
        <v>0</v>
      </c>
      <c r="X9" s="18">
        <f>VLOOKUP(Q9,'Desl. Base Cascavel'!$C$5:$Q$16,14,FALSE())</f>
        <v>0</v>
      </c>
      <c r="Y9" s="18">
        <f>VLOOKUP(Q9,'Desl. Base Cascavel'!$C$5:$Q$16,13,FALSE())*'Desl. Base Cascavel'!$E$21+'Desl. Base Cascavel'!$E$22*N9/12</f>
        <v>43.504833333333337</v>
      </c>
      <c r="Z9" s="18">
        <f>(H9/$AC$5)*'Equipe Técnica'!$C$13</f>
        <v>620.95547474682678</v>
      </c>
      <c r="AA9" s="18">
        <f>(I9/$AC$5)*'Equipe Técnica'!$C$13</f>
        <v>745.14656969619205</v>
      </c>
      <c r="AB9" s="18">
        <f>(L9/$AC$5)*'Equipe Técnica'!$C$13</f>
        <v>1097.0213387193942</v>
      </c>
      <c r="AC9" s="18">
        <f>(M9/$AC$5)*'Equipe Técnica'!$C$13</f>
        <v>1924.9619717151631</v>
      </c>
      <c r="AD9" s="18">
        <f t="shared" si="12"/>
        <v>854.10616958542323</v>
      </c>
      <c r="AE9" s="18">
        <f t="shared" si="13"/>
        <v>1018.8319967347885</v>
      </c>
      <c r="AF9" s="18">
        <f t="shared" si="14"/>
        <v>1485.5551736579907</v>
      </c>
      <c r="AG9" s="18">
        <f t="shared" si="15"/>
        <v>2996.5543546537597</v>
      </c>
      <c r="AI9" s="16" t="str">
        <f t="shared" si="16"/>
        <v>APS CASCAVEL</v>
      </c>
      <c r="AJ9" s="51">
        <f>VLOOKUP(AI9,Unidades!D$5:H$29,5,)</f>
        <v>0.2354</v>
      </c>
      <c r="AK9" s="33">
        <f t="shared" si="17"/>
        <v>1055.162761905832</v>
      </c>
      <c r="AL9" s="33">
        <f t="shared" si="17"/>
        <v>1258.6650487661577</v>
      </c>
      <c r="AM9" s="33">
        <f t="shared" si="17"/>
        <v>1835.2548615370818</v>
      </c>
      <c r="AN9" s="33">
        <f t="shared" si="17"/>
        <v>3701.943249739255</v>
      </c>
      <c r="AO9" s="33">
        <f t="shared" si="18"/>
        <v>2089.0888592290025</v>
      </c>
      <c r="AP9" s="33">
        <f t="shared" si="20"/>
        <v>6267.2665776870072</v>
      </c>
      <c r="AQ9" s="33">
        <f t="shared" si="19"/>
        <v>8356.3554369160101</v>
      </c>
      <c r="AR9" s="52"/>
      <c r="AS9" s="52"/>
      <c r="AT9" s="54"/>
      <c r="AU9" s="54"/>
      <c r="AV9" s="54"/>
      <c r="AW9" s="54"/>
    </row>
    <row r="10" spans="2:49" s="3" customFormat="1" ht="15" customHeight="1">
      <c r="B10" s="166" t="s">
        <v>139</v>
      </c>
      <c r="C10" s="47">
        <f>VLOOKUP($B10,Unidades!$D$5:$N$29,6,FALSE())</f>
        <v>2005</v>
      </c>
      <c r="D10" s="47">
        <f>VLOOKUP($B10,Unidades!$D$5:$N$29,7,FALSE())</f>
        <v>1554.31</v>
      </c>
      <c r="E10" s="47">
        <f>VLOOKUP($B10,Unidades!$D$5:$N$29,8,FALSE())</f>
        <v>450.69</v>
      </c>
      <c r="F10" s="47">
        <f>VLOOKUP($B10,Unidades!$D$5:$N$29,9,FALSE())</f>
        <v>0</v>
      </c>
      <c r="G10" s="47">
        <f t="shared" si="0"/>
        <v>1712.0515</v>
      </c>
      <c r="H10" s="48">
        <f t="shared" si="1"/>
        <v>2</v>
      </c>
      <c r="I10" s="48">
        <f t="shared" si="2"/>
        <v>2.4</v>
      </c>
      <c r="J10" s="48" t="str">
        <f>VLOOKUP($B10,Unidades!$D$5:$N$29,10,FALSE())</f>
        <v>SIM</v>
      </c>
      <c r="K10" s="48" t="str">
        <f>VLOOKUP($B10,Unidades!$D$5:$N$29,11,FALSE())</f>
        <v>SIM</v>
      </c>
      <c r="L10" s="48">
        <f t="shared" si="3"/>
        <v>4.2</v>
      </c>
      <c r="M10" s="48">
        <f t="shared" si="4"/>
        <v>8.1999999999999993</v>
      </c>
      <c r="N10" s="48">
        <f t="shared" si="5"/>
        <v>50.2</v>
      </c>
      <c r="O10" s="49">
        <f t="shared" si="6"/>
        <v>3755.4039273999997</v>
      </c>
      <c r="P10" s="50"/>
      <c r="Q10" s="16" t="str">
        <f t="shared" si="7"/>
        <v>APS TOLEDO</v>
      </c>
      <c r="R10" s="18">
        <f t="shared" si="8"/>
        <v>135.11577399999999</v>
      </c>
      <c r="S10" s="18">
        <f t="shared" si="9"/>
        <v>162.13892879999997</v>
      </c>
      <c r="T10" s="18">
        <f t="shared" si="10"/>
        <v>283.7431254</v>
      </c>
      <c r="U10" s="18">
        <f t="shared" si="11"/>
        <v>917.97267339999985</v>
      </c>
      <c r="V10" s="18">
        <f>VLOOKUP(Q10,'Desl. Base Cascavel'!$C$5:$S$16,13,FALSE())*($C$22+$D$22+$E$22*(VLOOKUP(Q10,'Desl. Base Cascavel'!$C$5:$S$16,17,FALSE())/12))</f>
        <v>92.040360986111111</v>
      </c>
      <c r="W10" s="18">
        <f>VLOOKUP(Q10,'Desl. Base Cascavel'!$C$5:$S$16,15,FALSE())*(2+(VLOOKUP(Q10,'Desl. Base Cascavel'!$C$5:$S$16,17,FALSE())/12))</f>
        <v>0</v>
      </c>
      <c r="X10" s="18">
        <f>VLOOKUP(Q10,'Desl. Base Cascavel'!$C$5:$Q$16,14,FALSE())</f>
        <v>0</v>
      </c>
      <c r="Y10" s="18">
        <f>VLOOKUP(Q10,'Desl. Base Cascavel'!$C$5:$Q$16,13,FALSE())*'Desl. Base Cascavel'!$E$21+'Desl. Base Cascavel'!$E$22*N10/12</f>
        <v>101.70383333333334</v>
      </c>
      <c r="Z10" s="18">
        <f>(H10/$AC$5)*'Equipe Técnica'!$C$13</f>
        <v>413.97031649788454</v>
      </c>
      <c r="AA10" s="18">
        <f>(I10/$AC$5)*'Equipe Técnica'!$C$13</f>
        <v>496.7643797974614</v>
      </c>
      <c r="AB10" s="18">
        <f>(L10/$AC$5)*'Equipe Técnica'!$C$13</f>
        <v>869.33766464555754</v>
      </c>
      <c r="AC10" s="18">
        <f>(M10/$AC$5)*'Equipe Técnica'!$C$13</f>
        <v>1697.2782976413264</v>
      </c>
      <c r="AD10" s="18">
        <f t="shared" si="12"/>
        <v>671.45084480490209</v>
      </c>
      <c r="AE10" s="18">
        <f t="shared" si="13"/>
        <v>781.26806290447894</v>
      </c>
      <c r="AF10" s="18">
        <f t="shared" si="14"/>
        <v>1275.4455443525751</v>
      </c>
      <c r="AG10" s="18">
        <f t="shared" si="15"/>
        <v>2737.6157253483439</v>
      </c>
      <c r="AI10" s="16" t="str">
        <f t="shared" si="16"/>
        <v>APS TOLEDO</v>
      </c>
      <c r="AJ10" s="51">
        <f>VLOOKUP(AI10,Unidades!D$5:H$29,5,)</f>
        <v>0.2354</v>
      </c>
      <c r="AK10" s="33">
        <f t="shared" si="17"/>
        <v>829.51037367197603</v>
      </c>
      <c r="AL10" s="33">
        <f t="shared" si="17"/>
        <v>965.17856491219334</v>
      </c>
      <c r="AM10" s="33">
        <f t="shared" si="17"/>
        <v>1575.6854254931714</v>
      </c>
      <c r="AN10" s="33">
        <f t="shared" si="17"/>
        <v>3382.0504670953442</v>
      </c>
      <c r="AO10" s="33">
        <f t="shared" si="18"/>
        <v>1695.6883384828477</v>
      </c>
      <c r="AP10" s="33">
        <f t="shared" si="20"/>
        <v>5087.0650154485429</v>
      </c>
      <c r="AQ10" s="33">
        <f t="shared" si="19"/>
        <v>6782.7533539313908</v>
      </c>
      <c r="AR10" s="52"/>
      <c r="AS10" s="55" t="s">
        <v>71</v>
      </c>
      <c r="AT10" s="198">
        <f>(SUM(AT8:AW8))/12</f>
        <v>18115.042037861214</v>
      </c>
      <c r="AU10" s="198"/>
      <c r="AV10" s="54"/>
      <c r="AW10" s="54"/>
    </row>
    <row r="11" spans="2:49" s="3" customFormat="1" ht="15" customHeight="1">
      <c r="B11" s="166" t="s">
        <v>140</v>
      </c>
      <c r="C11" s="47">
        <f>VLOOKUP($B11,Unidades!$D$5:$N$29,6,FALSE())</f>
        <v>785.22</v>
      </c>
      <c r="D11" s="47">
        <f>VLOOKUP($B11,Unidades!$D$5:$N$29,7,FALSE())</f>
        <v>551.75</v>
      </c>
      <c r="E11" s="47">
        <f>VLOOKUP($B11,Unidades!$D$5:$N$29,8,FALSE())</f>
        <v>233.47</v>
      </c>
      <c r="F11" s="47">
        <f>VLOOKUP($B11,Unidades!$D$5:$N$29,9,FALSE())</f>
        <v>0</v>
      </c>
      <c r="G11" s="47">
        <f t="shared" si="0"/>
        <v>633.46450000000004</v>
      </c>
      <c r="H11" s="48">
        <f t="shared" si="1"/>
        <v>1.5</v>
      </c>
      <c r="I11" s="48">
        <f t="shared" si="2"/>
        <v>1.7999999999999998</v>
      </c>
      <c r="J11" s="48" t="str">
        <f>VLOOKUP($B11,Unidades!$D$5:$N$29,10,FALSE())</f>
        <v>NÃO</v>
      </c>
      <c r="K11" s="48" t="str">
        <f>VLOOKUP($B11,Unidades!$D$5:$N$29,11,FALSE())</f>
        <v>NÃO</v>
      </c>
      <c r="L11" s="48">
        <f t="shared" si="3"/>
        <v>1.6500000000000001</v>
      </c>
      <c r="M11" s="48">
        <f t="shared" si="4"/>
        <v>1.6500000000000001</v>
      </c>
      <c r="N11" s="48">
        <f t="shared" si="5"/>
        <v>30.15</v>
      </c>
      <c r="O11" s="49">
        <f t="shared" si="6"/>
        <v>2036.8702930499996</v>
      </c>
      <c r="P11" s="50"/>
      <c r="Q11" s="16" t="str">
        <f t="shared" si="7"/>
        <v>APS MARECHAL CÂNDIDO RONDON</v>
      </c>
      <c r="R11" s="18">
        <f t="shared" si="8"/>
        <v>101.33683049999999</v>
      </c>
      <c r="S11" s="18">
        <f t="shared" si="9"/>
        <v>121.60419659999998</v>
      </c>
      <c r="T11" s="18">
        <f t="shared" si="10"/>
        <v>111.47051354999999</v>
      </c>
      <c r="U11" s="18">
        <f t="shared" si="11"/>
        <v>111.47051354999999</v>
      </c>
      <c r="V11" s="18">
        <f>VLOOKUP(Q11,'Desl. Base Cascavel'!$C$5:$S$16,13,FALSE())*($C$22+$D$22+$E$22*(VLOOKUP(Q11,'Desl. Base Cascavel'!$C$5:$S$16,17,FALSE())/12))</f>
        <v>92.040360986111111</v>
      </c>
      <c r="W11" s="18">
        <f>VLOOKUP(Q11,'Desl. Base Cascavel'!$C$5:$S$16,15,FALSE())*(2+(VLOOKUP(Q11,'Desl. Base Cascavel'!$C$5:$S$16,17,FALSE())/12))</f>
        <v>0</v>
      </c>
      <c r="X11" s="18">
        <f>VLOOKUP(Q11,'Desl. Base Cascavel'!$C$5:$Q$16,14,FALSE())</f>
        <v>0</v>
      </c>
      <c r="Y11" s="18">
        <f>VLOOKUP(Q11,'Desl. Base Cascavel'!$C$5:$Q$16,13,FALSE())*'Desl. Base Cascavel'!$E$21+'Desl. Base Cascavel'!$E$22*N11/12</f>
        <v>90.375583333333338</v>
      </c>
      <c r="Z11" s="18">
        <f>(H11/$AC$5)*'Equipe Técnica'!$C$13</f>
        <v>310.47773737341339</v>
      </c>
      <c r="AA11" s="18">
        <f>(I11/$AC$5)*'Equipe Técnica'!$C$13</f>
        <v>372.57328484809602</v>
      </c>
      <c r="AB11" s="18">
        <f>(L11/$AC$5)*'Equipe Técnica'!$C$13</f>
        <v>341.52551111075474</v>
      </c>
      <c r="AC11" s="18">
        <f>(M11/$AC$5)*'Equipe Técnica'!$C$13</f>
        <v>341.52551111075474</v>
      </c>
      <c r="AD11" s="18">
        <f t="shared" si="12"/>
        <v>527.02463796990469</v>
      </c>
      <c r="AE11" s="18">
        <f t="shared" si="13"/>
        <v>609.38755154458727</v>
      </c>
      <c r="AF11" s="18">
        <f t="shared" si="14"/>
        <v>568.20609475724598</v>
      </c>
      <c r="AG11" s="18">
        <f t="shared" si="15"/>
        <v>568.20609475724598</v>
      </c>
      <c r="AI11" s="16" t="str">
        <f t="shared" si="16"/>
        <v>APS MARECHAL CÂNDIDO RONDON</v>
      </c>
      <c r="AJ11" s="51">
        <f>VLOOKUP(AI11,Unidades!D$5:H$29,5,)</f>
        <v>0.2223</v>
      </c>
      <c r="AK11" s="33">
        <f t="shared" si="17"/>
        <v>644.18221499061451</v>
      </c>
      <c r="AL11" s="33">
        <f t="shared" si="17"/>
        <v>744.85440425294894</v>
      </c>
      <c r="AM11" s="33">
        <f t="shared" si="17"/>
        <v>694.51830962178178</v>
      </c>
      <c r="AN11" s="33">
        <f t="shared" si="17"/>
        <v>694.51830962178178</v>
      </c>
      <c r="AO11" s="33">
        <f t="shared" si="18"/>
        <v>1066.0965938137097</v>
      </c>
      <c r="AP11" s="33">
        <f t="shared" si="20"/>
        <v>3198.289781441129</v>
      </c>
      <c r="AQ11" s="33">
        <f t="shared" si="19"/>
        <v>4264.3863752548386</v>
      </c>
      <c r="AR11" s="52"/>
      <c r="AS11" s="55" t="s">
        <v>87</v>
      </c>
      <c r="AT11" s="198">
        <f>AT10*12</f>
        <v>217380.50445433456</v>
      </c>
      <c r="AU11" s="198"/>
      <c r="AV11" s="54"/>
      <c r="AW11" s="54"/>
    </row>
    <row r="12" spans="2:49" s="3" customFormat="1" ht="15" customHeight="1">
      <c r="B12" s="166" t="s">
        <v>141</v>
      </c>
      <c r="C12" s="47">
        <f>VLOOKUP($B12,Unidades!$D$5:$N$29,6,FALSE())</f>
        <v>525</v>
      </c>
      <c r="D12" s="47">
        <f>VLOOKUP($B12,Unidades!$D$5:$N$29,7,FALSE())</f>
        <v>423.47</v>
      </c>
      <c r="E12" s="47">
        <f>VLOOKUP($B12,Unidades!$D$5:$N$29,8,FALSE())</f>
        <v>101.53</v>
      </c>
      <c r="F12" s="47">
        <f>VLOOKUP($B12,Unidades!$D$5:$N$29,9,FALSE())</f>
        <v>0</v>
      </c>
      <c r="G12" s="47">
        <f t="shared" si="0"/>
        <v>459.00550000000004</v>
      </c>
      <c r="H12" s="48">
        <f t="shared" si="1"/>
        <v>1.5</v>
      </c>
      <c r="I12" s="48">
        <f t="shared" si="2"/>
        <v>1.7999999999999998</v>
      </c>
      <c r="J12" s="48" t="str">
        <f>VLOOKUP($B12,Unidades!$D$5:$N$29,10,FALSE())</f>
        <v>NÃO</v>
      </c>
      <c r="K12" s="48" t="str">
        <f>VLOOKUP($B12,Unidades!$D$5:$N$29,11,FALSE())</f>
        <v>NÃO</v>
      </c>
      <c r="L12" s="48">
        <f t="shared" si="3"/>
        <v>1.6500000000000001</v>
      </c>
      <c r="M12" s="48">
        <f t="shared" si="4"/>
        <v>1.6500000000000001</v>
      </c>
      <c r="N12" s="48">
        <f t="shared" si="5"/>
        <v>30.15</v>
      </c>
      <c r="O12" s="49">
        <f t="shared" si="6"/>
        <v>2036.8702930499996</v>
      </c>
      <c r="P12" s="50"/>
      <c r="Q12" s="16" t="str">
        <f t="shared" si="7"/>
        <v>APS ASSIS CHATEAUBRIAND</v>
      </c>
      <c r="R12" s="18">
        <f t="shared" si="8"/>
        <v>101.33683049999999</v>
      </c>
      <c r="S12" s="18">
        <f t="shared" si="9"/>
        <v>121.60419659999998</v>
      </c>
      <c r="T12" s="18">
        <f t="shared" si="10"/>
        <v>111.47051354999999</v>
      </c>
      <c r="U12" s="18">
        <f t="shared" si="11"/>
        <v>111.47051354999999</v>
      </c>
      <c r="V12" s="18">
        <f>VLOOKUP(Q12,'Desl. Base Cascavel'!$C$5:$S$16,13,FALSE())*($C$22+$D$22+$E$22*(VLOOKUP(Q12,'Desl. Base Cascavel'!$C$5:$S$16,17,FALSE())/12))</f>
        <v>144.88934245555555</v>
      </c>
      <c r="W12" s="18">
        <f>VLOOKUP(Q12,'Desl. Base Cascavel'!$C$5:$S$16,15,FALSE())*(2+(VLOOKUP(Q12,'Desl. Base Cascavel'!$C$5:$S$16,17,FALSE())/12))</f>
        <v>0</v>
      </c>
      <c r="X12" s="18">
        <f>VLOOKUP(Q12,'Desl. Base Cascavel'!$C$5:$Q$16,14,FALSE())</f>
        <v>0</v>
      </c>
      <c r="Y12" s="18">
        <f>VLOOKUP(Q12,'Desl. Base Cascavel'!$C$5:$Q$16,13,FALSE())*'Desl. Base Cascavel'!$E$21+'Desl. Base Cascavel'!$E$22*N12/12</f>
        <v>132.48741666666666</v>
      </c>
      <c r="Z12" s="18">
        <f>(H12/$AC$5)*'Equipe Técnica'!$C$13</f>
        <v>310.47773737341339</v>
      </c>
      <c r="AA12" s="18">
        <f>(I12/$AC$5)*'Equipe Técnica'!$C$13</f>
        <v>372.57328484809602</v>
      </c>
      <c r="AB12" s="18">
        <f>(L12/$AC$5)*'Equipe Técnica'!$C$13</f>
        <v>341.52551111075474</v>
      </c>
      <c r="AC12" s="18">
        <f>(M12/$AC$5)*'Equipe Técnica'!$C$13</f>
        <v>341.52551111075474</v>
      </c>
      <c r="AD12" s="18">
        <f t="shared" si="12"/>
        <v>586.99988942429059</v>
      </c>
      <c r="AE12" s="18">
        <f t="shared" si="13"/>
        <v>669.36280299897317</v>
      </c>
      <c r="AF12" s="18">
        <f t="shared" si="14"/>
        <v>628.18134621163199</v>
      </c>
      <c r="AG12" s="18">
        <f t="shared" si="15"/>
        <v>628.18134621163199</v>
      </c>
      <c r="AI12" s="16" t="str">
        <f t="shared" si="16"/>
        <v>APS ASSIS CHATEAUBRIAND</v>
      </c>
      <c r="AJ12" s="51">
        <f>VLOOKUP(AI12,Unidades!D$5:H$29,5,)</f>
        <v>0.2354</v>
      </c>
      <c r="AK12" s="33">
        <f t="shared" si="17"/>
        <v>725.17966339476857</v>
      </c>
      <c r="AL12" s="33">
        <f t="shared" si="17"/>
        <v>826.93080682493144</v>
      </c>
      <c r="AM12" s="33">
        <f t="shared" si="17"/>
        <v>776.05523510985017</v>
      </c>
      <c r="AN12" s="33">
        <f t="shared" si="17"/>
        <v>776.05523510985017</v>
      </c>
      <c r="AO12" s="33">
        <f t="shared" si="18"/>
        <v>1194.8370744472084</v>
      </c>
      <c r="AP12" s="33">
        <f t="shared" si="20"/>
        <v>3584.5112233416248</v>
      </c>
      <c r="AQ12" s="33">
        <f t="shared" si="19"/>
        <v>4779.3482977888334</v>
      </c>
      <c r="AR12" s="52"/>
      <c r="AS12" s="55" t="s">
        <v>72</v>
      </c>
      <c r="AT12" s="198">
        <f>AP19</f>
        <v>54345.126113583647</v>
      </c>
      <c r="AU12" s="198"/>
      <c r="AV12" s="52"/>
      <c r="AW12" s="52"/>
    </row>
    <row r="13" spans="2:49" s="3" customFormat="1" ht="15" customHeight="1">
      <c r="B13" s="166" t="s">
        <v>142</v>
      </c>
      <c r="C13" s="47">
        <f>VLOOKUP($B13,Unidades!$D$5:$N$29,6,FALSE())</f>
        <v>334.4</v>
      </c>
      <c r="D13" s="47">
        <f>VLOOKUP($B13,Unidades!$D$5:$N$29,7,FALSE())</f>
        <v>296</v>
      </c>
      <c r="E13" s="47">
        <f>VLOOKUP($B13,Unidades!$D$5:$N$29,8,FALSE())</f>
        <v>38.4</v>
      </c>
      <c r="F13" s="47">
        <f>VLOOKUP($B13,Unidades!$D$5:$N$29,9,FALSE())</f>
        <v>0</v>
      </c>
      <c r="G13" s="47">
        <f t="shared" si="0"/>
        <v>309.44</v>
      </c>
      <c r="H13" s="48">
        <f t="shared" si="1"/>
        <v>1.5</v>
      </c>
      <c r="I13" s="48">
        <f t="shared" si="2"/>
        <v>1.7999999999999998</v>
      </c>
      <c r="J13" s="48" t="str">
        <f>VLOOKUP($B13,Unidades!$D$5:$N$29,10,FALSE())</f>
        <v>NÃO</v>
      </c>
      <c r="K13" s="48" t="str">
        <f>VLOOKUP($B13,Unidades!$D$5:$N$29,11,FALSE())</f>
        <v>NÃO</v>
      </c>
      <c r="L13" s="48">
        <f t="shared" si="3"/>
        <v>1.6500000000000001</v>
      </c>
      <c r="M13" s="48">
        <f t="shared" si="4"/>
        <v>1.6500000000000001</v>
      </c>
      <c r="N13" s="48">
        <f t="shared" si="5"/>
        <v>30.15</v>
      </c>
      <c r="O13" s="49">
        <f t="shared" si="6"/>
        <v>2036.8702930499996</v>
      </c>
      <c r="P13" s="50"/>
      <c r="Q13" s="16" t="str">
        <f t="shared" si="7"/>
        <v>APS PALOTINA</v>
      </c>
      <c r="R13" s="18">
        <f t="shared" si="8"/>
        <v>101.33683049999999</v>
      </c>
      <c r="S13" s="18">
        <f t="shared" si="9"/>
        <v>121.60419659999998</v>
      </c>
      <c r="T13" s="18">
        <f t="shared" si="10"/>
        <v>111.47051354999999</v>
      </c>
      <c r="U13" s="18">
        <f t="shared" si="11"/>
        <v>111.47051354999999</v>
      </c>
      <c r="V13" s="18">
        <f>VLOOKUP(Q13,'Desl. Base Cascavel'!$C$5:$S$16,13,FALSE())*($C$22+$D$22+$E$22*(VLOOKUP(Q13,'Desl. Base Cascavel'!$C$5:$S$16,17,FALSE())/12))</f>
        <v>158.54694440833333</v>
      </c>
      <c r="W13" s="18">
        <f>VLOOKUP(Q13,'Desl. Base Cascavel'!$C$5:$S$16,15,FALSE())*(2+(VLOOKUP(Q13,'Desl. Base Cascavel'!$C$5:$S$16,17,FALSE())/12))</f>
        <v>0</v>
      </c>
      <c r="X13" s="18">
        <f>VLOOKUP(Q13,'Desl. Base Cascavel'!$C$5:$Q$16,14,FALSE())</f>
        <v>0</v>
      </c>
      <c r="Y13" s="18">
        <f>VLOOKUP(Q13,'Desl. Base Cascavel'!$C$5:$Q$16,13,FALSE())*'Desl. Base Cascavel'!$E$21+'Desl. Base Cascavel'!$E$22*N13/12</f>
        <v>143.37025</v>
      </c>
      <c r="Z13" s="18">
        <f>(H13/$AC$5)*'Equipe Técnica'!$C$13</f>
        <v>310.47773737341339</v>
      </c>
      <c r="AA13" s="18">
        <f>(I13/$AC$5)*'Equipe Técnica'!$C$13</f>
        <v>372.57328484809602</v>
      </c>
      <c r="AB13" s="18">
        <f>(L13/$AC$5)*'Equipe Técnica'!$C$13</f>
        <v>341.52551111075474</v>
      </c>
      <c r="AC13" s="18">
        <f>(M13/$AC$5)*'Equipe Técnica'!$C$13</f>
        <v>341.52551111075474</v>
      </c>
      <c r="AD13" s="18">
        <f t="shared" si="12"/>
        <v>602.49911171025542</v>
      </c>
      <c r="AE13" s="18">
        <f t="shared" si="13"/>
        <v>684.86202528493811</v>
      </c>
      <c r="AF13" s="18">
        <f t="shared" si="14"/>
        <v>643.68056849759682</v>
      </c>
      <c r="AG13" s="18">
        <f t="shared" si="15"/>
        <v>643.68056849759682</v>
      </c>
      <c r="AI13" s="16" t="str">
        <f t="shared" si="16"/>
        <v>APS PALOTINA</v>
      </c>
      <c r="AJ13" s="51">
        <f>VLOOKUP(AI13,Unidades!D$5:H$29,5,)</f>
        <v>0.2354</v>
      </c>
      <c r="AK13" s="33">
        <f t="shared" si="17"/>
        <v>744.32740260684955</v>
      </c>
      <c r="AL13" s="33">
        <f t="shared" si="17"/>
        <v>846.07854603701253</v>
      </c>
      <c r="AM13" s="33">
        <f t="shared" si="17"/>
        <v>795.20297432193115</v>
      </c>
      <c r="AN13" s="33">
        <f t="shared" si="17"/>
        <v>795.20297432193115</v>
      </c>
      <c r="AO13" s="33">
        <f t="shared" si="18"/>
        <v>1225.1543281996699</v>
      </c>
      <c r="AP13" s="33">
        <f t="shared" si="20"/>
        <v>3675.4629845990094</v>
      </c>
      <c r="AQ13" s="33">
        <f t="shared" si="19"/>
        <v>4900.6173127986794</v>
      </c>
      <c r="AR13" s="52"/>
      <c r="AS13" s="55" t="s">
        <v>90</v>
      </c>
      <c r="AT13" s="198">
        <f>AT12*12</f>
        <v>652141.51336300373</v>
      </c>
      <c r="AU13" s="198"/>
      <c r="AV13" s="54"/>
      <c r="AW13" s="54"/>
    </row>
    <row r="14" spans="2:49" s="3" customFormat="1" ht="15" customHeight="1">
      <c r="B14" s="166" t="s">
        <v>143</v>
      </c>
      <c r="C14" s="47">
        <f>VLOOKUP($B14,Unidades!$D$5:$N$29,6,FALSE())</f>
        <v>567.94000000000005</v>
      </c>
      <c r="D14" s="47">
        <f>VLOOKUP($B14,Unidades!$D$5:$N$29,7,FALSE())</f>
        <v>450.82</v>
      </c>
      <c r="E14" s="47">
        <f>VLOOKUP($B14,Unidades!$D$5:$N$29,8,FALSE())</f>
        <v>117.12</v>
      </c>
      <c r="F14" s="47">
        <f>VLOOKUP($B14,Unidades!$D$5:$N$29,9,FALSE())</f>
        <v>0</v>
      </c>
      <c r="G14" s="47">
        <f t="shared" si="0"/>
        <v>491.81200000000001</v>
      </c>
      <c r="H14" s="48">
        <f t="shared" si="1"/>
        <v>1.5</v>
      </c>
      <c r="I14" s="48">
        <f t="shared" si="2"/>
        <v>1.7999999999999998</v>
      </c>
      <c r="J14" s="48" t="str">
        <f>VLOOKUP($B14,Unidades!$D$5:$N$29,10,FALSE())</f>
        <v>NÃO</v>
      </c>
      <c r="K14" s="48" t="str">
        <f>VLOOKUP($B14,Unidades!$D$5:$N$29,11,FALSE())</f>
        <v>SIM</v>
      </c>
      <c r="L14" s="48">
        <f t="shared" si="3"/>
        <v>1.6500000000000001</v>
      </c>
      <c r="M14" s="48">
        <f t="shared" si="4"/>
        <v>5.65</v>
      </c>
      <c r="N14" s="48">
        <f t="shared" si="5"/>
        <v>34.15</v>
      </c>
      <c r="O14" s="49">
        <f t="shared" si="6"/>
        <v>2557.9053410499996</v>
      </c>
      <c r="P14" s="50"/>
      <c r="Q14" s="16" t="str">
        <f t="shared" si="7"/>
        <v>APS GUAÍRA</v>
      </c>
      <c r="R14" s="18">
        <f t="shared" si="8"/>
        <v>101.33683049999999</v>
      </c>
      <c r="S14" s="18">
        <f t="shared" si="9"/>
        <v>121.60419659999998</v>
      </c>
      <c r="T14" s="18">
        <f t="shared" si="10"/>
        <v>111.47051354999999</v>
      </c>
      <c r="U14" s="18">
        <f t="shared" si="11"/>
        <v>632.50556155000004</v>
      </c>
      <c r="V14" s="18">
        <f>VLOOKUP(Q14,'Desl. Base Cascavel'!$C$5:$S$16,13,FALSE())*($C$22+$D$22+$E$22*(VLOOKUP(Q14,'Desl. Base Cascavel'!$C$5:$S$16,17,FALSE())/12))</f>
        <v>158.54694440833333</v>
      </c>
      <c r="W14" s="18">
        <f>VLOOKUP(Q14,'Desl. Base Cascavel'!$C$5:$S$16,15,FALSE())*(2+(VLOOKUP(Q14,'Desl. Base Cascavel'!$C$5:$S$16,17,FALSE())/12))</f>
        <v>0</v>
      </c>
      <c r="X14" s="18">
        <f>VLOOKUP(Q14,'Desl. Base Cascavel'!$C$5:$Q$16,14,FALSE())</f>
        <v>0</v>
      </c>
      <c r="Y14" s="18">
        <f>VLOOKUP(Q14,'Desl. Base Cascavel'!$C$5:$Q$16,13,FALSE())*'Desl. Base Cascavel'!$E$21+'Desl. Base Cascavel'!$E$22*N14/12</f>
        <v>145.63025000000002</v>
      </c>
      <c r="Z14" s="18">
        <f>(H14/$AC$5)*'Equipe Técnica'!$C$13</f>
        <v>310.47773737341339</v>
      </c>
      <c r="AA14" s="18">
        <f>(I14/$AC$5)*'Equipe Técnica'!$C$13</f>
        <v>372.57328484809602</v>
      </c>
      <c r="AB14" s="18">
        <f>(L14/$AC$5)*'Equipe Técnica'!$C$13</f>
        <v>341.52551111075474</v>
      </c>
      <c r="AC14" s="18">
        <f>(M14/$AC$5)*'Equipe Técnica'!$C$13</f>
        <v>1169.4661441065239</v>
      </c>
      <c r="AD14" s="18">
        <f t="shared" si="12"/>
        <v>603.92648013130815</v>
      </c>
      <c r="AE14" s="18">
        <f t="shared" si="13"/>
        <v>686.28939370599073</v>
      </c>
      <c r="AF14" s="18">
        <f t="shared" si="14"/>
        <v>645.10793691864944</v>
      </c>
      <c r="AG14" s="18">
        <f t="shared" si="15"/>
        <v>1994.0836179144185</v>
      </c>
      <c r="AI14" s="16" t="str">
        <f t="shared" si="16"/>
        <v>APS GUAÍRA</v>
      </c>
      <c r="AJ14" s="51">
        <f>VLOOKUP(AI14,Unidades!D$5:H$29,5,)</f>
        <v>0.2487</v>
      </c>
      <c r="AK14" s="33">
        <f t="shared" si="17"/>
        <v>754.12299573996449</v>
      </c>
      <c r="AL14" s="33">
        <f t="shared" si="17"/>
        <v>856.96956592067056</v>
      </c>
      <c r="AM14" s="33">
        <f t="shared" si="17"/>
        <v>805.54628083031753</v>
      </c>
      <c r="AN14" s="33">
        <f t="shared" si="17"/>
        <v>2490.0122136897344</v>
      </c>
      <c r="AO14" s="33">
        <f t="shared" si="18"/>
        <v>1381.5382489927188</v>
      </c>
      <c r="AP14" s="33">
        <f t="shared" si="20"/>
        <v>4144.6147469781563</v>
      </c>
      <c r="AQ14" s="33">
        <f t="shared" si="19"/>
        <v>5526.1529959708751</v>
      </c>
      <c r="AR14" s="52"/>
      <c r="AS14" s="55" t="s">
        <v>73</v>
      </c>
      <c r="AT14" s="198">
        <f>AT10+AT12</f>
        <v>72460.168151444857</v>
      </c>
      <c r="AU14" s="198"/>
      <c r="AV14" s="54"/>
      <c r="AW14" s="54"/>
    </row>
    <row r="15" spans="2:49" s="3" customFormat="1" ht="15" customHeight="1">
      <c r="B15" s="166" t="s">
        <v>144</v>
      </c>
      <c r="C15" s="47">
        <f>VLOOKUP($B15,Unidades!$D$5:$N$29,6,FALSE())</f>
        <v>1340</v>
      </c>
      <c r="D15" s="47">
        <f>VLOOKUP($B15,Unidades!$D$5:$N$29,7,FALSE())</f>
        <v>695.46</v>
      </c>
      <c r="E15" s="47">
        <f>VLOOKUP($B15,Unidades!$D$5:$N$29,8,FALSE())</f>
        <v>389.89</v>
      </c>
      <c r="F15" s="47">
        <f>VLOOKUP($B15,Unidades!$D$5:$N$29,9,FALSE())</f>
        <v>254.65</v>
      </c>
      <c r="G15" s="47">
        <f t="shared" si="0"/>
        <v>857.38650000000007</v>
      </c>
      <c r="H15" s="48">
        <f t="shared" si="1"/>
        <v>2</v>
      </c>
      <c r="I15" s="48">
        <f t="shared" si="2"/>
        <v>2.4</v>
      </c>
      <c r="J15" s="48" t="str">
        <f>VLOOKUP($B15,Unidades!$D$5:$N$29,10,FALSE())</f>
        <v>NÃO</v>
      </c>
      <c r="K15" s="48" t="str">
        <f>VLOOKUP($B15,Unidades!$D$5:$N$29,11,FALSE())</f>
        <v>NÃO</v>
      </c>
      <c r="L15" s="48">
        <f t="shared" si="3"/>
        <v>2.2000000000000002</v>
      </c>
      <c r="M15" s="48">
        <f t="shared" si="4"/>
        <v>2.2000000000000002</v>
      </c>
      <c r="N15" s="48">
        <f t="shared" si="5"/>
        <v>40.200000000000003</v>
      </c>
      <c r="O15" s="49">
        <f t="shared" si="6"/>
        <v>2715.8270573999998</v>
      </c>
      <c r="P15" s="50"/>
      <c r="Q15" s="16" t="str">
        <f t="shared" si="7"/>
        <v>APS MEDIANEIRA</v>
      </c>
      <c r="R15" s="18">
        <f t="shared" si="8"/>
        <v>135.11577399999999</v>
      </c>
      <c r="S15" s="18">
        <f t="shared" si="9"/>
        <v>162.13892879999997</v>
      </c>
      <c r="T15" s="18">
        <f t="shared" si="10"/>
        <v>148.62735140000001</v>
      </c>
      <c r="U15" s="18">
        <f t="shared" si="11"/>
        <v>148.62735140000001</v>
      </c>
      <c r="V15" s="18">
        <f>VLOOKUP(Q15,'Desl. Base Cascavel'!$C$5:$S$16,13,FALSE())*($C$22+$D$22+$E$22*(VLOOKUP(Q15,'Desl. Base Cascavel'!$C$5:$S$16,17,FALSE())/12))</f>
        <v>100.77384810833333</v>
      </c>
      <c r="W15" s="18">
        <f>VLOOKUP(Q15,'Desl. Base Cascavel'!$C$5:$S$16,15,FALSE())*(2+(VLOOKUP(Q15,'Desl. Base Cascavel'!$C$5:$S$16,17,FALSE())/12))</f>
        <v>0</v>
      </c>
      <c r="X15" s="18">
        <f>VLOOKUP(Q15,'Desl. Base Cascavel'!$C$5:$Q$16,14,FALSE())</f>
        <v>0</v>
      </c>
      <c r="Y15" s="18">
        <f>VLOOKUP(Q15,'Desl. Base Cascavel'!$C$5:$Q$16,13,FALSE())*'Desl. Base Cascavel'!$E$21+'Desl. Base Cascavel'!$E$22*N15/12</f>
        <v>107.40983333333334</v>
      </c>
      <c r="Z15" s="18">
        <f>(H15/$AC$5)*'Equipe Técnica'!$C$13</f>
        <v>413.97031649788454</v>
      </c>
      <c r="AA15" s="18">
        <f>(I15/$AC$5)*'Equipe Técnica'!$C$13</f>
        <v>496.7643797974614</v>
      </c>
      <c r="AB15" s="18">
        <f>(L15/$AC$5)*'Equipe Técnica'!$C$13</f>
        <v>455.367348147673</v>
      </c>
      <c r="AC15" s="18">
        <f>(M15/$AC$5)*'Equipe Técnica'!$C$13</f>
        <v>455.367348147673</v>
      </c>
      <c r="AD15" s="18">
        <f t="shared" si="12"/>
        <v>680.57052088209502</v>
      </c>
      <c r="AE15" s="18">
        <f t="shared" si="13"/>
        <v>790.38773898167187</v>
      </c>
      <c r="AF15" s="18">
        <f t="shared" si="14"/>
        <v>735.47912993188356</v>
      </c>
      <c r="AG15" s="18">
        <f t="shared" si="15"/>
        <v>735.47912993188356</v>
      </c>
      <c r="AI15" s="16" t="str">
        <f t="shared" si="16"/>
        <v>APS MEDIANEIRA</v>
      </c>
      <c r="AJ15" s="51">
        <f>VLOOKUP(AI15,Unidades!D$5:H$29,5,)</f>
        <v>0.2354</v>
      </c>
      <c r="AK15" s="33">
        <f t="shared" si="17"/>
        <v>840.77682149774023</v>
      </c>
      <c r="AL15" s="33">
        <f t="shared" si="17"/>
        <v>976.44501273795743</v>
      </c>
      <c r="AM15" s="33">
        <f t="shared" si="17"/>
        <v>908.610917117849</v>
      </c>
      <c r="AN15" s="33">
        <f t="shared" si="17"/>
        <v>908.610917117849</v>
      </c>
      <c r="AO15" s="33">
        <f t="shared" si="18"/>
        <v>1393.4112216898548</v>
      </c>
      <c r="AP15" s="33">
        <f t="shared" si="20"/>
        <v>4180.2336650695643</v>
      </c>
      <c r="AQ15" s="33">
        <f t="shared" si="19"/>
        <v>5573.644886759419</v>
      </c>
      <c r="AR15" s="52"/>
      <c r="AS15" s="55" t="s">
        <v>93</v>
      </c>
      <c r="AT15" s="198">
        <f>AT11+AT13</f>
        <v>869522.01781733823</v>
      </c>
      <c r="AU15" s="198"/>
      <c r="AV15" s="52"/>
      <c r="AW15" s="52"/>
    </row>
    <row r="16" spans="2:49" s="3" customFormat="1" ht="15" customHeight="1">
      <c r="B16" s="166" t="s">
        <v>145</v>
      </c>
      <c r="C16" s="47">
        <f>VLOOKUP($B16,Unidades!$D$5:$N$29,6,FALSE())</f>
        <v>334.4</v>
      </c>
      <c r="D16" s="47">
        <f>VLOOKUP($B16,Unidades!$D$5:$N$29,7,FALSE())</f>
        <v>296</v>
      </c>
      <c r="E16" s="47">
        <f>VLOOKUP($B16,Unidades!$D$5:$N$29,8,FALSE())</f>
        <v>38.4</v>
      </c>
      <c r="F16" s="47">
        <f>VLOOKUP($B16,Unidades!$D$5:$N$29,9,FALSE())</f>
        <v>0</v>
      </c>
      <c r="G16" s="47">
        <f t="shared" si="0"/>
        <v>309.44</v>
      </c>
      <c r="H16" s="48">
        <f t="shared" si="1"/>
        <v>1.5</v>
      </c>
      <c r="I16" s="48">
        <f t="shared" si="2"/>
        <v>1.7999999999999998</v>
      </c>
      <c r="J16" s="48" t="str">
        <f>VLOOKUP($B16,Unidades!$D$5:$N$29,10,FALSE())</f>
        <v>NÃO</v>
      </c>
      <c r="K16" s="48" t="str">
        <f>VLOOKUP($B16,Unidades!$D$5:$N$29,11,FALSE())</f>
        <v>NÃO</v>
      </c>
      <c r="L16" s="48">
        <f t="shared" si="3"/>
        <v>1.6500000000000001</v>
      </c>
      <c r="M16" s="48">
        <f t="shared" si="4"/>
        <v>1.6500000000000001</v>
      </c>
      <c r="N16" s="48">
        <f t="shared" si="5"/>
        <v>30.15</v>
      </c>
      <c r="O16" s="49">
        <f t="shared" si="6"/>
        <v>2036.8702930499996</v>
      </c>
      <c r="P16" s="50"/>
      <c r="Q16" s="16" t="str">
        <f t="shared" si="7"/>
        <v>APS SÃO MIGUEL DO IGUAÇU</v>
      </c>
      <c r="R16" s="18">
        <f t="shared" si="8"/>
        <v>101.33683049999999</v>
      </c>
      <c r="S16" s="18">
        <f t="shared" si="9"/>
        <v>121.60419659999998</v>
      </c>
      <c r="T16" s="18">
        <f t="shared" si="10"/>
        <v>111.47051354999999</v>
      </c>
      <c r="U16" s="18">
        <f t="shared" si="11"/>
        <v>111.47051354999999</v>
      </c>
      <c r="V16" s="18">
        <f>VLOOKUP(Q16,'Desl. Base Cascavel'!$C$5:$S$16,13,FALSE())*($C$22+$D$22+$E$22*(VLOOKUP(Q16,'Desl. Base Cascavel'!$C$5:$S$16,17,FALSE())/12))</f>
        <v>100.77384810833333</v>
      </c>
      <c r="W16" s="18">
        <f>VLOOKUP(Q16,'Desl. Base Cascavel'!$C$5:$S$16,15,FALSE())*(2+(VLOOKUP(Q16,'Desl. Base Cascavel'!$C$5:$S$16,17,FALSE())/12))</f>
        <v>0</v>
      </c>
      <c r="X16" s="18">
        <f>VLOOKUP(Q16,'Desl. Base Cascavel'!$C$5:$Q$16,14,FALSE())</f>
        <v>0</v>
      </c>
      <c r="Y16" s="18">
        <f>VLOOKUP(Q16,'Desl. Base Cascavel'!$C$5:$Q$16,13,FALSE())*'Desl. Base Cascavel'!$E$21+'Desl. Base Cascavel'!$E$22*N16/12</f>
        <v>101.73158333333333</v>
      </c>
      <c r="Z16" s="18">
        <f>(H16/$AC$5)*'Equipe Técnica'!$C$13</f>
        <v>310.47773737341339</v>
      </c>
      <c r="AA16" s="18">
        <f>(I16/$AC$5)*'Equipe Técnica'!$C$13</f>
        <v>372.57328484809602</v>
      </c>
      <c r="AB16" s="18">
        <f>(L16/$AC$5)*'Equipe Técnica'!$C$13</f>
        <v>341.52551111075474</v>
      </c>
      <c r="AC16" s="18">
        <f>(M16/$AC$5)*'Equipe Técnica'!$C$13</f>
        <v>341.52551111075474</v>
      </c>
      <c r="AD16" s="18">
        <f t="shared" si="12"/>
        <v>539.71273509972912</v>
      </c>
      <c r="AE16" s="18">
        <f t="shared" si="13"/>
        <v>622.07564867441181</v>
      </c>
      <c r="AF16" s="18">
        <f t="shared" si="14"/>
        <v>580.89419188707052</v>
      </c>
      <c r="AG16" s="18">
        <f t="shared" si="15"/>
        <v>580.89419188707052</v>
      </c>
      <c r="AI16" s="16" t="str">
        <f t="shared" si="16"/>
        <v>APS SÃO MIGUEL DO IGUAÇU</v>
      </c>
      <c r="AJ16" s="51">
        <f>VLOOKUP(AI16,Unidades!D$5:H$29,5,)</f>
        <v>0.2354</v>
      </c>
      <c r="AK16" s="33">
        <f t="shared" si="17"/>
        <v>666.76111294220539</v>
      </c>
      <c r="AL16" s="33">
        <f t="shared" si="17"/>
        <v>768.51225637236837</v>
      </c>
      <c r="AM16" s="33">
        <f t="shared" si="17"/>
        <v>717.63668465728699</v>
      </c>
      <c r="AN16" s="33">
        <f t="shared" si="17"/>
        <v>717.63668465728699</v>
      </c>
      <c r="AO16" s="33">
        <f t="shared" si="18"/>
        <v>1102.3410362306502</v>
      </c>
      <c r="AP16" s="33">
        <f t="shared" si="20"/>
        <v>3307.0231086919503</v>
      </c>
      <c r="AQ16" s="33">
        <f t="shared" si="19"/>
        <v>4409.3641449226006</v>
      </c>
      <c r="AR16" s="52"/>
      <c r="AS16" s="52"/>
      <c r="AT16" s="52"/>
      <c r="AU16" s="52"/>
      <c r="AV16" s="52"/>
      <c r="AW16" s="52"/>
    </row>
    <row r="17" spans="2:49" s="3" customFormat="1" ht="15" customHeight="1">
      <c r="B17" s="166" t="s">
        <v>146</v>
      </c>
      <c r="C17" s="47">
        <f>VLOOKUP($B17,Unidades!$D$5:$N$29,6,FALSE())</f>
        <v>3100</v>
      </c>
      <c r="D17" s="47">
        <f>VLOOKUP($B17,Unidades!$D$5:$N$29,7,FALSE())</f>
        <v>2069.9899999999998</v>
      </c>
      <c r="E17" s="47">
        <f>VLOOKUP($B17,Unidades!$D$5:$N$29,8,FALSE())</f>
        <v>964.36</v>
      </c>
      <c r="F17" s="47">
        <f>VLOOKUP($B17,Unidades!$D$5:$N$29,9,FALSE())</f>
        <v>65.650000000000006</v>
      </c>
      <c r="G17" s="47">
        <f t="shared" si="0"/>
        <v>2414.0809999999997</v>
      </c>
      <c r="H17" s="48">
        <f t="shared" si="1"/>
        <v>3</v>
      </c>
      <c r="I17" s="48">
        <f t="shared" si="2"/>
        <v>3.5999999999999996</v>
      </c>
      <c r="J17" s="48" t="str">
        <f>VLOOKUP($B17,Unidades!$D$5:$N$29,10,FALSE())</f>
        <v>SIM</v>
      </c>
      <c r="K17" s="48" t="str">
        <f>VLOOKUP($B17,Unidades!$D$5:$N$29,11,FALSE())</f>
        <v>SIM</v>
      </c>
      <c r="L17" s="48">
        <f t="shared" si="3"/>
        <v>5.3000000000000007</v>
      </c>
      <c r="M17" s="48">
        <f t="shared" si="4"/>
        <v>9.3000000000000007</v>
      </c>
      <c r="N17" s="48">
        <f t="shared" si="5"/>
        <v>70.3</v>
      </c>
      <c r="O17" s="49">
        <f t="shared" si="6"/>
        <v>5162.1464560999993</v>
      </c>
      <c r="P17" s="50"/>
      <c r="Q17" s="16" t="str">
        <f t="shared" si="7"/>
        <v>APS FOZ DO IGUAÇU</v>
      </c>
      <c r="R17" s="18">
        <f t="shared" si="8"/>
        <v>202.67366099999998</v>
      </c>
      <c r="S17" s="18">
        <f t="shared" si="9"/>
        <v>243.20839319999996</v>
      </c>
      <c r="T17" s="18">
        <f t="shared" si="10"/>
        <v>358.05680110000003</v>
      </c>
      <c r="U17" s="18">
        <f t="shared" si="11"/>
        <v>1041.1153491</v>
      </c>
      <c r="V17" s="18">
        <f>VLOOKUP(Q17,'Desl. Base Cascavel'!$C$5:$S$16,13,FALSE())*($C$22+$D$22+$E$22*(VLOOKUP(Q17,'Desl. Base Cascavel'!$C$5:$S$16,17,FALSE())/12))</f>
        <v>279.09012686111112</v>
      </c>
      <c r="W17" s="18">
        <f>VLOOKUP(Q17,'Desl. Base Cascavel'!$C$5:$S$16,15,FALSE())*(2+(VLOOKUP(Q17,'Desl. Base Cascavel'!$C$5:$S$16,17,FALSE())/12))</f>
        <v>0</v>
      </c>
      <c r="X17" s="18">
        <f>VLOOKUP(Q17,'Desl. Base Cascavel'!$C$5:$Q$16,14,FALSE())</f>
        <v>0</v>
      </c>
      <c r="Y17" s="18">
        <f>VLOOKUP(Q17,'Desl. Base Cascavel'!$C$5:$Q$16,13,FALSE())*'Desl. Base Cascavel'!$E$21+'Desl. Base Cascavel'!$E$22*N17/12</f>
        <v>262.1078333333333</v>
      </c>
      <c r="Z17" s="18">
        <f>(H17/$AC$5)*'Equipe Técnica'!$C$13</f>
        <v>620.95547474682678</v>
      </c>
      <c r="AA17" s="18">
        <f>(I17/$AC$5)*'Equipe Técnica'!$C$13</f>
        <v>745.14656969619205</v>
      </c>
      <c r="AB17" s="18">
        <f>(L17/$AC$5)*'Equipe Técnica'!$C$13</f>
        <v>1097.0213387193942</v>
      </c>
      <c r="AC17" s="18">
        <f>(M17/$AC$5)*'Equipe Técnica'!$C$13</f>
        <v>1924.9619717151631</v>
      </c>
      <c r="AD17" s="18">
        <f t="shared" si="12"/>
        <v>1165.4383737643707</v>
      </c>
      <c r="AE17" s="18">
        <f t="shared" si="13"/>
        <v>1330.1642009137358</v>
      </c>
      <c r="AF17" s="18">
        <f t="shared" si="14"/>
        <v>1796.887377836938</v>
      </c>
      <c r="AG17" s="18">
        <f t="shared" si="15"/>
        <v>3307.8865588327071</v>
      </c>
      <c r="AI17" s="16" t="str">
        <f t="shared" si="16"/>
        <v>APS FOZ DO IGUAÇU</v>
      </c>
      <c r="AJ17" s="51">
        <f>VLOOKUP(AI17,Unidades!D$5:H$29,5,)</f>
        <v>0.2487</v>
      </c>
      <c r="AK17" s="33">
        <f t="shared" si="17"/>
        <v>1455.2828973195697</v>
      </c>
      <c r="AL17" s="33">
        <f t="shared" si="17"/>
        <v>1660.9760376809818</v>
      </c>
      <c r="AM17" s="33">
        <f t="shared" si="17"/>
        <v>2243.7732687049843</v>
      </c>
      <c r="AN17" s="33">
        <f t="shared" si="17"/>
        <v>4130.5579460144008</v>
      </c>
      <c r="AO17" s="33">
        <f t="shared" si="18"/>
        <v>2727.1169501652607</v>
      </c>
      <c r="AP17" s="33">
        <f t="shared" si="20"/>
        <v>8181.3508504957827</v>
      </c>
      <c r="AQ17" s="33">
        <f t="shared" si="19"/>
        <v>10908.467800661043</v>
      </c>
      <c r="AR17" s="52"/>
      <c r="AS17" s="52"/>
      <c r="AT17" s="52"/>
      <c r="AU17" s="52"/>
      <c r="AV17" s="52"/>
      <c r="AW17" s="52"/>
    </row>
    <row r="18" spans="2:49" s="3" customFormat="1" ht="15" customHeight="1">
      <c r="B18" s="166" t="s">
        <v>147</v>
      </c>
      <c r="C18" s="47">
        <f>VLOOKUP($B18,Unidades!$D$5:$N$29,6,FALSE())</f>
        <v>334.4</v>
      </c>
      <c r="D18" s="47">
        <f>VLOOKUP($B18,Unidades!$D$5:$N$29,7,FALSE())</f>
        <v>296</v>
      </c>
      <c r="E18" s="47">
        <f>VLOOKUP($B18,Unidades!$D$5:$N$29,8,FALSE())</f>
        <v>38.4</v>
      </c>
      <c r="F18" s="47">
        <f>VLOOKUP($B18,Unidades!$D$5:$N$29,9,FALSE())</f>
        <v>0</v>
      </c>
      <c r="G18" s="47">
        <f t="shared" si="0"/>
        <v>309.44</v>
      </c>
      <c r="H18" s="48">
        <f t="shared" si="1"/>
        <v>1.5</v>
      </c>
      <c r="I18" s="48">
        <f t="shared" si="2"/>
        <v>1.7999999999999998</v>
      </c>
      <c r="J18" s="48" t="str">
        <f>VLOOKUP($B18,Unidades!$D$5:$N$29,10,FALSE())</f>
        <v>NÃO</v>
      </c>
      <c r="K18" s="48" t="str">
        <f>VLOOKUP($B18,Unidades!$D$5:$N$29,11,FALSE())</f>
        <v>NÃO</v>
      </c>
      <c r="L18" s="48">
        <f t="shared" si="3"/>
        <v>1.6500000000000001</v>
      </c>
      <c r="M18" s="48">
        <f t="shared" si="4"/>
        <v>1.6500000000000001</v>
      </c>
      <c r="N18" s="48">
        <f t="shared" si="5"/>
        <v>30.15</v>
      </c>
      <c r="O18" s="49">
        <f t="shared" si="6"/>
        <v>2036.8702930499996</v>
      </c>
      <c r="P18" s="50"/>
      <c r="Q18" s="16" t="str">
        <f t="shared" si="7"/>
        <v>APS QUEDAS DO IGUAÇU</v>
      </c>
      <c r="R18" s="18">
        <f t="shared" si="8"/>
        <v>101.33683049999999</v>
      </c>
      <c r="S18" s="18">
        <f t="shared" si="9"/>
        <v>121.60419659999998</v>
      </c>
      <c r="T18" s="18">
        <f t="shared" si="10"/>
        <v>111.47051354999999</v>
      </c>
      <c r="U18" s="18">
        <f t="shared" si="11"/>
        <v>111.47051354999999</v>
      </c>
      <c r="V18" s="18">
        <f>VLOOKUP(Q18,'Desl. Base Cascavel'!$C$5:$S$16,13,FALSE())*($C$22+$D$22+$E$22*(VLOOKUP(Q18,'Desl. Base Cascavel'!$C$5:$S$16,17,FALSE())/12))</f>
        <v>237.57856928333331</v>
      </c>
      <c r="W18" s="18">
        <f>VLOOKUP(Q18,'Desl. Base Cascavel'!$C$5:$S$16,15,FALSE())*(2+(VLOOKUP(Q18,'Desl. Base Cascavel'!$C$5:$S$16,17,FALSE())/12))</f>
        <v>0</v>
      </c>
      <c r="X18" s="18">
        <f>VLOOKUP(Q18,'Desl. Base Cascavel'!$C$5:$Q$16,14,FALSE())</f>
        <v>0</v>
      </c>
      <c r="Y18" s="18">
        <f>VLOOKUP(Q18,'Desl. Base Cascavel'!$C$5:$Q$16,13,FALSE())*'Desl. Base Cascavel'!$E$21+'Desl. Base Cascavel'!$E$22*N18/12</f>
        <v>216.71108333333333</v>
      </c>
      <c r="Z18" s="18">
        <f>(H18/$AC$5)*'Equipe Técnica'!$C$13</f>
        <v>310.47773737341339</v>
      </c>
      <c r="AA18" s="18">
        <f>(I18/$AC$5)*'Equipe Técnica'!$C$13</f>
        <v>372.57328484809602</v>
      </c>
      <c r="AB18" s="18">
        <f>(L18/$AC$5)*'Equipe Técnica'!$C$13</f>
        <v>341.52551111075474</v>
      </c>
      <c r="AC18" s="18">
        <f>(M18/$AC$5)*'Equipe Técnica'!$C$13</f>
        <v>341.52551111075474</v>
      </c>
      <c r="AD18" s="18">
        <f t="shared" si="12"/>
        <v>698.73434847341332</v>
      </c>
      <c r="AE18" s="18">
        <f t="shared" si="13"/>
        <v>781.09726204809601</v>
      </c>
      <c r="AF18" s="18">
        <f t="shared" si="14"/>
        <v>739.91580526075472</v>
      </c>
      <c r="AG18" s="18">
        <f t="shared" si="15"/>
        <v>739.91580526075472</v>
      </c>
      <c r="AI18" s="16" t="str">
        <f t="shared" si="16"/>
        <v>APS QUEDAS DO IGUAÇU</v>
      </c>
      <c r="AJ18" s="51">
        <f>VLOOKUP(AI18,Unidades!D$5:H$29,5,)</f>
        <v>0.2223</v>
      </c>
      <c r="AK18" s="33">
        <f t="shared" si="17"/>
        <v>854.0629941390531</v>
      </c>
      <c r="AL18" s="33">
        <f t="shared" si="17"/>
        <v>954.73518340138776</v>
      </c>
      <c r="AM18" s="33">
        <f t="shared" si="17"/>
        <v>904.39908877022049</v>
      </c>
      <c r="AN18" s="33">
        <f t="shared" si="17"/>
        <v>904.39908877022049</v>
      </c>
      <c r="AO18" s="33">
        <f t="shared" si="18"/>
        <v>1398.4078274654041</v>
      </c>
      <c r="AP18" s="33">
        <f t="shared" si="20"/>
        <v>4195.2234823962126</v>
      </c>
      <c r="AQ18" s="33">
        <f t="shared" si="19"/>
        <v>5593.6313098616165</v>
      </c>
      <c r="AR18" s="52"/>
      <c r="AS18" s="52"/>
      <c r="AT18" s="52"/>
      <c r="AU18" s="52"/>
      <c r="AV18" s="52"/>
      <c r="AW18" s="52"/>
    </row>
    <row r="19" spans="2:49" s="39" customFormat="1" ht="19.5" customHeight="1">
      <c r="B19" s="57" t="s">
        <v>98</v>
      </c>
      <c r="C19" s="58">
        <f t="shared" ref="C19:I19" si="21">SUM(C7:C18)</f>
        <v>14838.64</v>
      </c>
      <c r="D19" s="58">
        <f t="shared" si="21"/>
        <v>9610.93</v>
      </c>
      <c r="E19" s="58">
        <f t="shared" si="21"/>
        <v>4360.3999999999996</v>
      </c>
      <c r="F19" s="58">
        <f t="shared" si="21"/>
        <v>867.31</v>
      </c>
      <c r="G19" s="58">
        <f t="shared" si="21"/>
        <v>11223.801000000001</v>
      </c>
      <c r="H19" s="59">
        <f t="shared" si="21"/>
        <v>22.5</v>
      </c>
      <c r="I19" s="59">
        <f t="shared" si="21"/>
        <v>27.000000000000004</v>
      </c>
      <c r="J19" s="59">
        <f>COUNTIF(J7:J18,"SIM")</f>
        <v>5</v>
      </c>
      <c r="K19" s="59">
        <f>COUNTIF(K7:K18,"SIM")</f>
        <v>5</v>
      </c>
      <c r="L19" s="59">
        <f>SUM(L7:L18)</f>
        <v>34.749999999999993</v>
      </c>
      <c r="M19" s="59">
        <f>SUM(M7:M18)</f>
        <v>54.749999999999993</v>
      </c>
      <c r="N19" s="59">
        <f>SUM(N7:N18)</f>
        <v>502.24999999999989</v>
      </c>
      <c r="O19" s="60">
        <f>SUM(O7:O18)</f>
        <v>35710.987745749997</v>
      </c>
      <c r="P19" s="61"/>
      <c r="Q19" s="59" t="s">
        <v>98</v>
      </c>
      <c r="R19" s="62">
        <f t="shared" ref="R19:AG19" si="22">SUM(R7:R18)</f>
        <v>1520.0524574999997</v>
      </c>
      <c r="S19" s="62">
        <f t="shared" si="22"/>
        <v>1824.0629490000001</v>
      </c>
      <c r="T19" s="62">
        <f t="shared" si="22"/>
        <v>2347.6365732500003</v>
      </c>
      <c r="U19" s="62">
        <f t="shared" si="22"/>
        <v>5478.8333132499984</v>
      </c>
      <c r="V19" s="62">
        <f t="shared" si="22"/>
        <v>1513.9201583055556</v>
      </c>
      <c r="W19" s="62">
        <f t="shared" si="22"/>
        <v>0</v>
      </c>
      <c r="X19" s="62">
        <f t="shared" si="22"/>
        <v>0</v>
      </c>
      <c r="Y19" s="62">
        <f t="shared" si="22"/>
        <v>1509.2729166666666</v>
      </c>
      <c r="Z19" s="62">
        <f t="shared" si="22"/>
        <v>4657.1660606012001</v>
      </c>
      <c r="AA19" s="62">
        <f t="shared" si="22"/>
        <v>5588.5992727214407</v>
      </c>
      <c r="AB19" s="62">
        <f t="shared" si="22"/>
        <v>7192.7342491507434</v>
      </c>
      <c r="AC19" s="62">
        <f t="shared" si="22"/>
        <v>11332.437414129588</v>
      </c>
      <c r="AD19" s="62">
        <f t="shared" si="22"/>
        <v>8086.6036180836581</v>
      </c>
      <c r="AE19" s="62">
        <f t="shared" si="22"/>
        <v>9322.0473217038943</v>
      </c>
      <c r="AF19" s="62">
        <f t="shared" si="22"/>
        <v>11449.755922383201</v>
      </c>
      <c r="AG19" s="62">
        <f t="shared" si="22"/>
        <v>18720.655827362047</v>
      </c>
      <c r="AI19" s="196" t="s">
        <v>98</v>
      </c>
      <c r="AJ19" s="196"/>
      <c r="AK19" s="63">
        <f t="shared" ref="AK19:AQ19" si="23">SUM(AK7:AK18)</f>
        <v>9989.9287747477065</v>
      </c>
      <c r="AL19" s="63">
        <f t="shared" si="23"/>
        <v>11516.245343948298</v>
      </c>
      <c r="AM19" s="63">
        <f t="shared" si="23"/>
        <v>14144.901657571536</v>
      </c>
      <c r="AN19" s="63">
        <f t="shared" si="23"/>
        <v>23146.574466425842</v>
      </c>
      <c r="AO19" s="63">
        <f t="shared" si="23"/>
        <v>18115.042037861214</v>
      </c>
      <c r="AP19" s="63">
        <f t="shared" si="23"/>
        <v>54345.126113583647</v>
      </c>
      <c r="AQ19" s="63">
        <f t="shared" si="23"/>
        <v>72460.168151444857</v>
      </c>
    </row>
    <row r="20" spans="2:49" ht="18" customHeight="1">
      <c r="H20" s="64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40"/>
      <c r="AE20" s="40"/>
      <c r="AF20" s="40"/>
      <c r="AG20" s="40"/>
    </row>
    <row r="21" spans="2:49" ht="39.75" customHeight="1">
      <c r="B21" s="197" t="s">
        <v>29</v>
      </c>
      <c r="C21" s="66" t="s">
        <v>99</v>
      </c>
      <c r="D21" s="66" t="s">
        <v>100</v>
      </c>
      <c r="E21" s="66" t="s">
        <v>101</v>
      </c>
      <c r="R21" s="21"/>
      <c r="Z21" s="21"/>
      <c r="AA21" s="21"/>
      <c r="AB21" s="21"/>
      <c r="AC21" s="21"/>
    </row>
    <row r="22" spans="2:49" ht="18" customHeight="1">
      <c r="B22" s="197"/>
      <c r="C22" s="18">
        <f>'Comp. Oficial de Manutenção'!D11</f>
        <v>37.687886999999996</v>
      </c>
      <c r="D22" s="18">
        <f>'Base Maringá'!D23</f>
        <v>29.87</v>
      </c>
      <c r="E22" s="18">
        <f>'Base Maringá'!E23</f>
        <v>44.39</v>
      </c>
    </row>
    <row r="23" spans="2:49" ht="28.5" customHeight="1">
      <c r="B23" s="36" t="str">
        <f>'Equipe Técnica'!B9</f>
        <v>* SINAPI Maio/2025 (Não Desonerado)</v>
      </c>
    </row>
    <row r="24" spans="2:49" ht="23.25" customHeight="1"/>
  </sheetData>
  <mergeCells count="44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AS4:AW4"/>
    <mergeCell ref="Z5:AB5"/>
    <mergeCell ref="AD5:AD6"/>
    <mergeCell ref="AE5:AE6"/>
    <mergeCell ref="AF5:AF6"/>
    <mergeCell ref="Z4:AC4"/>
    <mergeCell ref="AD4:AG4"/>
    <mergeCell ref="AI4:AI6"/>
    <mergeCell ref="AJ4:AN4"/>
    <mergeCell ref="AO4:AQ4"/>
    <mergeCell ref="AT10:AU10"/>
    <mergeCell ref="AT11:AU11"/>
    <mergeCell ref="AG5:AG6"/>
    <mergeCell ref="AJ5:AJ6"/>
    <mergeCell ref="AK5:AK6"/>
    <mergeCell ref="AL5:AL6"/>
    <mergeCell ref="AM5:AM6"/>
    <mergeCell ref="AN5:AN6"/>
    <mergeCell ref="B21:B22"/>
    <mergeCell ref="AO5:AO6"/>
    <mergeCell ref="AP5:AP6"/>
    <mergeCell ref="AQ5:AQ6"/>
    <mergeCell ref="AS5:AS6"/>
    <mergeCell ref="G5:G6"/>
    <mergeCell ref="N5:N6"/>
    <mergeCell ref="V5:V6"/>
    <mergeCell ref="W5:W6"/>
    <mergeCell ref="X5:X6"/>
    <mergeCell ref="Y5:Y6"/>
    <mergeCell ref="AT12:AU12"/>
    <mergeCell ref="AT13:AU13"/>
    <mergeCell ref="AT14:AU14"/>
    <mergeCell ref="AT15:AU15"/>
    <mergeCell ref="AI19:AJ19"/>
  </mergeCells>
  <printOptions horizontalCentered="1" verticalCentered="1"/>
  <pageMargins left="7.8472222222222193E-2" right="3.8194444444444503E-2" top="0.196527777777778" bottom="0.196527777777778" header="0.511811023622047" footer="0.511811023622047"/>
  <pageSetup paperSize="9" pageOrder="overThenDown" orientation="portrait" useFirstPageNumber="1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91799-2518-4582-9B35-A70EC610516E}">
  <sheetPr>
    <tabColor theme="9" tint="0.79998168889431442"/>
  </sheetPr>
  <dimension ref="B1:IZ36"/>
  <sheetViews>
    <sheetView showGridLines="0" zoomScale="110" zoomScaleNormal="110" workbookViewId="0">
      <selection activeCell="I21" sqref="I21"/>
    </sheetView>
  </sheetViews>
  <sheetFormatPr defaultColWidth="8.625" defaultRowHeight="14.25"/>
  <cols>
    <col min="1" max="1" width="5.625" customWidth="1"/>
    <col min="2" max="2" width="12.625" style="67" customWidth="1"/>
    <col min="3" max="3" width="32.625" style="67" customWidth="1"/>
    <col min="4" max="13" width="9.625" style="67" customWidth="1"/>
    <col min="14" max="15" width="9.625" style="68" customWidth="1"/>
    <col min="16" max="17" width="9.625" style="67" customWidth="1"/>
    <col min="18" max="18" width="11.75" style="67" customWidth="1"/>
    <col min="19" max="19" width="14.25" style="67" customWidth="1"/>
    <col min="20" max="260" width="8.625" style="67"/>
  </cols>
  <sheetData>
    <row r="1" spans="2:19" ht="15" customHeight="1"/>
    <row r="2" spans="2:19" ht="24.75" customHeight="1">
      <c r="B2" s="217" t="str">
        <f>"DESLOCAMENTO BASE "&amp;Resumo!B6</f>
        <v>DESLOCAMENTO BASE CASCAVEL</v>
      </c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191"/>
    </row>
    <row r="3" spans="2:19" ht="15" customHeight="1"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</row>
    <row r="4" spans="2:19" ht="37.5" customHeight="1">
      <c r="B4" s="15" t="s">
        <v>102</v>
      </c>
      <c r="C4" s="15" t="str">
        <f>"Rota (saída e retorno "&amp;Resumo!B6&amp;")"</f>
        <v>Rota (saída e retorno CASCAVEL)</v>
      </c>
      <c r="D4" s="15" t="s">
        <v>103</v>
      </c>
      <c r="E4" s="15" t="s">
        <v>104</v>
      </c>
      <c r="F4" s="15" t="s">
        <v>105</v>
      </c>
      <c r="G4" s="15" t="s">
        <v>106</v>
      </c>
      <c r="H4" s="15" t="s">
        <v>107</v>
      </c>
      <c r="I4" s="15" t="s">
        <v>108</v>
      </c>
      <c r="J4" s="15" t="s">
        <v>109</v>
      </c>
      <c r="K4" s="15" t="s">
        <v>110</v>
      </c>
      <c r="L4" s="15" t="s">
        <v>111</v>
      </c>
      <c r="M4" s="70" t="s">
        <v>112</v>
      </c>
      <c r="N4" s="15" t="s">
        <v>113</v>
      </c>
      <c r="O4" s="15" t="s">
        <v>114</v>
      </c>
      <c r="P4" s="15" t="s">
        <v>115</v>
      </c>
      <c r="Q4" s="15" t="s">
        <v>66</v>
      </c>
      <c r="R4" s="15" t="s">
        <v>116</v>
      </c>
      <c r="S4" s="15" t="s">
        <v>117</v>
      </c>
    </row>
    <row r="5" spans="2:19" ht="15.75" customHeight="1">
      <c r="B5" s="71">
        <v>1</v>
      </c>
      <c r="C5" s="56" t="s">
        <v>137</v>
      </c>
      <c r="D5" s="72">
        <v>0</v>
      </c>
      <c r="E5" s="72">
        <v>0</v>
      </c>
      <c r="F5" s="72">
        <v>0</v>
      </c>
      <c r="G5" s="177">
        <f>SUM(D5:F5)</f>
        <v>0</v>
      </c>
      <c r="H5" s="167">
        <v>0</v>
      </c>
      <c r="I5" s="167">
        <v>0</v>
      </c>
      <c r="J5" s="167">
        <v>0</v>
      </c>
      <c r="K5" s="74">
        <f>SUM(H5:J5)</f>
        <v>0</v>
      </c>
      <c r="L5" s="77">
        <f>K5/60</f>
        <v>0</v>
      </c>
      <c r="M5" s="76">
        <v>0</v>
      </c>
      <c r="N5" s="74">
        <v>1</v>
      </c>
      <c r="O5" s="77">
        <f>L5/N5</f>
        <v>0</v>
      </c>
      <c r="P5" s="178">
        <v>0</v>
      </c>
      <c r="Q5" s="178">
        <v>0</v>
      </c>
      <c r="R5" s="168" t="str">
        <f>INDEX('Base Cascavel'!K$7:K$19,MATCH('Desl. Base Cascavel'!C5,'Base Cascavel'!B$7:B$19,0))</f>
        <v>NÃO</v>
      </c>
      <c r="S5" s="179">
        <v>0</v>
      </c>
    </row>
    <row r="6" spans="2:19" ht="15.75" customHeight="1">
      <c r="B6" s="71">
        <v>2</v>
      </c>
      <c r="C6" s="56" t="s">
        <v>138</v>
      </c>
      <c r="D6" s="72">
        <v>0.55000000000000004</v>
      </c>
      <c r="E6" s="72">
        <v>0.6</v>
      </c>
      <c r="F6" s="72">
        <v>0</v>
      </c>
      <c r="G6" s="177">
        <f>SUM(D6:F6)</f>
        <v>1.1499999999999999</v>
      </c>
      <c r="H6" s="167">
        <v>2</v>
      </c>
      <c r="I6" s="167">
        <v>2</v>
      </c>
      <c r="J6" s="167">
        <v>0</v>
      </c>
      <c r="K6" s="74">
        <f>SUM(H6:J6)</f>
        <v>4</v>
      </c>
      <c r="L6" s="77">
        <f>K6/60</f>
        <v>6.6666666666666666E-2</v>
      </c>
      <c r="M6" s="76">
        <v>0</v>
      </c>
      <c r="N6" s="74">
        <v>1</v>
      </c>
      <c r="O6" s="77">
        <f>L6/N6</f>
        <v>6.6666666666666666E-2</v>
      </c>
      <c r="P6" s="178">
        <v>0</v>
      </c>
      <c r="Q6" s="178">
        <v>0</v>
      </c>
      <c r="R6" s="168" t="str">
        <f>INDEX('Base Cascavel'!K$7:K$19,MATCH('Desl. Base Cascavel'!C6,'Base Cascavel'!B$7:B$19,0))</f>
        <v>SIM</v>
      </c>
      <c r="S6" s="179">
        <v>1</v>
      </c>
    </row>
    <row r="7" spans="2:19" ht="15.75" customHeight="1">
      <c r="B7" s="216">
        <v>3</v>
      </c>
      <c r="C7" s="56" t="s">
        <v>139</v>
      </c>
      <c r="D7" s="213">
        <v>45.4</v>
      </c>
      <c r="E7" s="213">
        <f>86.6-D7</f>
        <v>41.199999999999996</v>
      </c>
      <c r="F7" s="213">
        <v>84.2</v>
      </c>
      <c r="G7" s="212">
        <f>SUM(D7:F8)</f>
        <v>170.8</v>
      </c>
      <c r="H7" s="219">
        <v>42</v>
      </c>
      <c r="I7" s="219">
        <f>81-H7</f>
        <v>39</v>
      </c>
      <c r="J7" s="219">
        <v>74</v>
      </c>
      <c r="K7" s="214">
        <f>SUM(H7:J8)</f>
        <v>155</v>
      </c>
      <c r="L7" s="215">
        <f>K7/60</f>
        <v>2.5833333333333335</v>
      </c>
      <c r="M7" s="218">
        <v>0</v>
      </c>
      <c r="N7" s="214">
        <v>2</v>
      </c>
      <c r="O7" s="77">
        <f>L7/N7</f>
        <v>1.2916666666666667</v>
      </c>
      <c r="P7" s="76">
        <v>0</v>
      </c>
      <c r="Q7" s="76">
        <v>0</v>
      </c>
      <c r="R7" s="168" t="str">
        <f>INDEX('Base Cascavel'!K$7:K$19,MATCH('Desl. Base Cascavel'!C7,'Base Cascavel'!B$7:B$19,0))</f>
        <v>SIM</v>
      </c>
      <c r="S7" s="179">
        <v>1</v>
      </c>
    </row>
    <row r="8" spans="2:19" ht="15.75" customHeight="1">
      <c r="B8" s="216"/>
      <c r="C8" s="56" t="s">
        <v>140</v>
      </c>
      <c r="D8" s="213"/>
      <c r="E8" s="213"/>
      <c r="F8" s="213"/>
      <c r="G8" s="212"/>
      <c r="H8" s="219"/>
      <c r="I8" s="219"/>
      <c r="J8" s="219"/>
      <c r="K8" s="214"/>
      <c r="L8" s="215"/>
      <c r="M8" s="218"/>
      <c r="N8" s="214"/>
      <c r="O8" s="77">
        <f>O7</f>
        <v>1.2916666666666667</v>
      </c>
      <c r="P8" s="76">
        <v>0</v>
      </c>
      <c r="Q8" s="76">
        <v>0</v>
      </c>
      <c r="R8" s="168" t="str">
        <f>INDEX('Base Cascavel'!K$7:K$19,MATCH('Desl. Base Cascavel'!C8,'Base Cascavel'!B$7:B$19,0))</f>
        <v>NÃO</v>
      </c>
      <c r="S8" s="179">
        <v>1</v>
      </c>
    </row>
    <row r="9" spans="2:19" ht="15.75" customHeight="1">
      <c r="B9" s="216">
        <v>4</v>
      </c>
      <c r="C9" s="56" t="s">
        <v>141</v>
      </c>
      <c r="D9" s="213">
        <v>85.1</v>
      </c>
      <c r="E9" s="213">
        <f>156-D9</f>
        <v>70.900000000000006</v>
      </c>
      <c r="F9" s="213">
        <v>121</v>
      </c>
      <c r="G9" s="212">
        <f>SUM(D9:F10)</f>
        <v>277</v>
      </c>
      <c r="H9" s="219">
        <v>69</v>
      </c>
      <c r="I9" s="219">
        <f>137-H9</f>
        <v>68</v>
      </c>
      <c r="J9" s="219">
        <v>107</v>
      </c>
      <c r="K9" s="214">
        <f>SUM(H9:J10)</f>
        <v>244</v>
      </c>
      <c r="L9" s="215">
        <f>K9/60</f>
        <v>4.0666666666666664</v>
      </c>
      <c r="M9" s="218">
        <v>0</v>
      </c>
      <c r="N9" s="214">
        <v>2</v>
      </c>
      <c r="O9" s="77">
        <f>L9/N9</f>
        <v>2.0333333333333332</v>
      </c>
      <c r="P9" s="76">
        <v>0</v>
      </c>
      <c r="Q9" s="76">
        <v>0</v>
      </c>
      <c r="R9" s="168" t="str">
        <f>INDEX('Base Cascavel'!K$7:K$19,MATCH('Desl. Base Cascavel'!C9,'Base Cascavel'!B$7:B$19,0))</f>
        <v>NÃO</v>
      </c>
      <c r="S9" s="179">
        <v>1</v>
      </c>
    </row>
    <row r="10" spans="2:19" ht="15.75" customHeight="1">
      <c r="B10" s="216"/>
      <c r="C10" s="56" t="s">
        <v>136</v>
      </c>
      <c r="D10" s="213"/>
      <c r="E10" s="213"/>
      <c r="F10" s="213"/>
      <c r="G10" s="212"/>
      <c r="H10" s="219"/>
      <c r="I10" s="219"/>
      <c r="J10" s="219"/>
      <c r="K10" s="214"/>
      <c r="L10" s="215"/>
      <c r="M10" s="218">
        <v>0</v>
      </c>
      <c r="N10" s="214"/>
      <c r="O10" s="77">
        <f>O9</f>
        <v>2.0333333333333332</v>
      </c>
      <c r="P10" s="76">
        <v>0</v>
      </c>
      <c r="Q10" s="76">
        <v>0</v>
      </c>
      <c r="R10" s="168" t="str">
        <f>INDEX('Base Cascavel'!K$7:K$19,MATCH('Desl. Base Cascavel'!C10,'Base Cascavel'!B$7:B$19,0))</f>
        <v>SIM</v>
      </c>
      <c r="S10" s="179">
        <v>1</v>
      </c>
    </row>
    <row r="11" spans="2:19" ht="15.75" customHeight="1">
      <c r="B11" s="216">
        <v>5</v>
      </c>
      <c r="C11" s="56" t="s">
        <v>142</v>
      </c>
      <c r="D11" s="213">
        <v>98.2</v>
      </c>
      <c r="E11" s="213">
        <f>165-D11</f>
        <v>66.8</v>
      </c>
      <c r="F11" s="213">
        <v>148</v>
      </c>
      <c r="G11" s="212">
        <f>SUM(D11:F12)</f>
        <v>313</v>
      </c>
      <c r="H11" s="219">
        <v>77</v>
      </c>
      <c r="I11" s="219">
        <f>145-H11</f>
        <v>68</v>
      </c>
      <c r="J11" s="219">
        <v>122</v>
      </c>
      <c r="K11" s="214">
        <f>SUM(H11:J12)</f>
        <v>267</v>
      </c>
      <c r="L11" s="215">
        <f>K11/60</f>
        <v>4.45</v>
      </c>
      <c r="M11" s="218">
        <v>0</v>
      </c>
      <c r="N11" s="214">
        <v>2</v>
      </c>
      <c r="O11" s="77">
        <f>L11/N11</f>
        <v>2.2250000000000001</v>
      </c>
      <c r="P11" s="76">
        <v>0</v>
      </c>
      <c r="Q11" s="76">
        <v>0</v>
      </c>
      <c r="R11" s="168" t="str">
        <f>INDEX('Base Cascavel'!K$7:K$19,MATCH('Desl. Base Cascavel'!C11,'Base Cascavel'!B$7:B$19,0))</f>
        <v>NÃO</v>
      </c>
      <c r="S11" s="179">
        <v>1</v>
      </c>
    </row>
    <row r="12" spans="2:19" ht="15.75" customHeight="1">
      <c r="B12" s="216"/>
      <c r="C12" s="56" t="s">
        <v>143</v>
      </c>
      <c r="D12" s="213"/>
      <c r="E12" s="213"/>
      <c r="F12" s="213"/>
      <c r="G12" s="212"/>
      <c r="H12" s="219"/>
      <c r="I12" s="219"/>
      <c r="J12" s="219"/>
      <c r="K12" s="214"/>
      <c r="L12" s="215"/>
      <c r="M12" s="218"/>
      <c r="N12" s="214"/>
      <c r="O12" s="77">
        <f>O11</f>
        <v>2.2250000000000001</v>
      </c>
      <c r="P12" s="76">
        <v>0</v>
      </c>
      <c r="Q12" s="76">
        <v>0</v>
      </c>
      <c r="R12" s="168" t="str">
        <f>INDEX('Base Cascavel'!K$7:K$19,MATCH('Desl. Base Cascavel'!C12,'Base Cascavel'!B$7:B$19,0))</f>
        <v>SIM</v>
      </c>
      <c r="S12" s="179">
        <v>1</v>
      </c>
    </row>
    <row r="13" spans="2:19" ht="15.75" customHeight="1">
      <c r="B13" s="216">
        <v>6</v>
      </c>
      <c r="C13" s="56" t="s">
        <v>144</v>
      </c>
      <c r="D13" s="213">
        <v>82.4</v>
      </c>
      <c r="E13" s="213">
        <f>100-D13</f>
        <v>17.599999999999994</v>
      </c>
      <c r="F13" s="213">
        <v>99.5</v>
      </c>
      <c r="G13" s="212">
        <f>SUM(D13:F14)</f>
        <v>199.5</v>
      </c>
      <c r="H13" s="219">
        <v>73</v>
      </c>
      <c r="I13" s="219">
        <f>90-H13</f>
        <v>17</v>
      </c>
      <c r="J13" s="219">
        <v>89</v>
      </c>
      <c r="K13" s="214">
        <f>SUM(H13:J14)</f>
        <v>179</v>
      </c>
      <c r="L13" s="215">
        <f>K13/60</f>
        <v>2.9833333333333334</v>
      </c>
      <c r="M13" s="218">
        <v>0</v>
      </c>
      <c r="N13" s="214">
        <v>2</v>
      </c>
      <c r="O13" s="77">
        <f>L13/N13</f>
        <v>1.4916666666666667</v>
      </c>
      <c r="P13" s="76">
        <v>0</v>
      </c>
      <c r="Q13" s="76">
        <v>0</v>
      </c>
      <c r="R13" s="168" t="str">
        <f>INDEX('Base Cascavel'!K$7:K$19,MATCH('Desl. Base Cascavel'!C13,'Base Cascavel'!B$7:B$19,0))</f>
        <v>NÃO</v>
      </c>
      <c r="S13" s="179">
        <v>0</v>
      </c>
    </row>
    <row r="14" spans="2:19" ht="15.75" customHeight="1">
      <c r="B14" s="216"/>
      <c r="C14" s="56" t="s">
        <v>145</v>
      </c>
      <c r="D14" s="213"/>
      <c r="E14" s="213"/>
      <c r="F14" s="213"/>
      <c r="G14" s="212"/>
      <c r="H14" s="219"/>
      <c r="I14" s="219"/>
      <c r="J14" s="219"/>
      <c r="K14" s="214"/>
      <c r="L14" s="215"/>
      <c r="M14" s="218"/>
      <c r="N14" s="214"/>
      <c r="O14" s="77">
        <f>O13</f>
        <v>1.4916666666666667</v>
      </c>
      <c r="P14" s="76">
        <v>0</v>
      </c>
      <c r="Q14" s="76">
        <v>0</v>
      </c>
      <c r="R14" s="168" t="str">
        <f>INDEX('Base Cascavel'!K$7:K$19,MATCH('Desl. Base Cascavel'!C14,'Base Cascavel'!B$7:B$19,0))</f>
        <v>NÃO</v>
      </c>
      <c r="S14" s="179">
        <v>0</v>
      </c>
    </row>
    <row r="15" spans="2:19" ht="15.75" customHeight="1">
      <c r="B15" s="71">
        <v>7</v>
      </c>
      <c r="C15" s="56" t="s">
        <v>146</v>
      </c>
      <c r="D15" s="72">
        <v>139</v>
      </c>
      <c r="E15" s="72">
        <v>140</v>
      </c>
      <c r="F15" s="72">
        <v>0</v>
      </c>
      <c r="G15" s="73">
        <f>SUM(D15:F15)</f>
        <v>279</v>
      </c>
      <c r="H15" s="167">
        <v>114</v>
      </c>
      <c r="I15" s="167">
        <v>121</v>
      </c>
      <c r="J15" s="167">
        <v>0</v>
      </c>
      <c r="K15" s="74">
        <f>SUM(H15:J15)</f>
        <v>235</v>
      </c>
      <c r="L15" s="77">
        <f>K15/60</f>
        <v>3.9166666666666665</v>
      </c>
      <c r="M15" s="76">
        <v>0</v>
      </c>
      <c r="N15" s="74">
        <v>1</v>
      </c>
      <c r="O15" s="77">
        <f>L15/N15</f>
        <v>3.9166666666666665</v>
      </c>
      <c r="P15" s="76">
        <v>0</v>
      </c>
      <c r="Q15" s="76">
        <v>0</v>
      </c>
      <c r="R15" s="168" t="str">
        <f>INDEX('Base Cascavel'!K$7:K$19,MATCH('Desl. Base Cascavel'!C15,'Base Cascavel'!B$7:B$19,0))</f>
        <v>SIM</v>
      </c>
      <c r="S15" s="179">
        <v>1</v>
      </c>
    </row>
    <row r="16" spans="2:19" ht="15.75" customHeight="1">
      <c r="B16" s="71">
        <v>8</v>
      </c>
      <c r="C16" s="56" t="s">
        <v>147</v>
      </c>
      <c r="D16" s="72">
        <v>126</v>
      </c>
      <c r="E16" s="72">
        <v>127</v>
      </c>
      <c r="F16" s="72">
        <v>0</v>
      </c>
      <c r="G16" s="73">
        <f>SUM(D16:F16)</f>
        <v>253</v>
      </c>
      <c r="H16" s="167">
        <v>104</v>
      </c>
      <c r="I16" s="167">
        <v>107</v>
      </c>
      <c r="J16" s="167">
        <v>0</v>
      </c>
      <c r="K16" s="74">
        <f>SUM(H16:J16)</f>
        <v>211</v>
      </c>
      <c r="L16" s="180">
        <f>K16/60</f>
        <v>3.5166666666666666</v>
      </c>
      <c r="M16" s="76">
        <v>0</v>
      </c>
      <c r="N16" s="74">
        <v>1</v>
      </c>
      <c r="O16" s="180">
        <f>L16/N16</f>
        <v>3.5166666666666666</v>
      </c>
      <c r="P16" s="76">
        <v>0</v>
      </c>
      <c r="Q16" s="76">
        <v>0</v>
      </c>
      <c r="R16" s="168" t="str">
        <f>INDEX('Base Cascavel'!K$7:K$19,MATCH('Desl. Base Cascavel'!C16,'Base Cascavel'!B$7:B$19,0))</f>
        <v>NÃO</v>
      </c>
      <c r="S16" s="179">
        <v>0</v>
      </c>
    </row>
    <row r="17" spans="2:19" s="67" customFormat="1" ht="19.5" customHeight="1">
      <c r="B17" s="207" t="s">
        <v>98</v>
      </c>
      <c r="C17" s="207"/>
      <c r="D17" s="207"/>
      <c r="E17" s="207"/>
      <c r="F17" s="207"/>
      <c r="G17" s="78">
        <f>SUM(G5:G16)</f>
        <v>1493.45</v>
      </c>
      <c r="H17" s="208" t="s">
        <v>98</v>
      </c>
      <c r="I17" s="208"/>
      <c r="J17" s="208"/>
      <c r="K17" s="79">
        <f t="shared" ref="K17:Q17" si="0">SUM(K5:K16)</f>
        <v>1295</v>
      </c>
      <c r="L17" s="80">
        <f t="shared" si="0"/>
        <v>21.583333333333336</v>
      </c>
      <c r="M17" s="81">
        <f t="shared" si="0"/>
        <v>0</v>
      </c>
      <c r="N17" s="82">
        <f t="shared" si="0"/>
        <v>12</v>
      </c>
      <c r="O17" s="175">
        <f t="shared" si="0"/>
        <v>21.583333333333332</v>
      </c>
      <c r="P17" s="81">
        <f t="shared" si="0"/>
        <v>0</v>
      </c>
      <c r="Q17" s="81">
        <f t="shared" si="0"/>
        <v>0</v>
      </c>
      <c r="R17" s="81"/>
      <c r="S17" s="81"/>
    </row>
    <row r="18" spans="2:19" s="67" customFormat="1" ht="16.5" customHeight="1">
      <c r="B18" s="83"/>
      <c r="C18" s="83"/>
      <c r="D18" s="83"/>
      <c r="E18" s="83"/>
      <c r="F18" s="83"/>
      <c r="N18" s="68"/>
      <c r="O18" s="68"/>
    </row>
    <row r="19" spans="2:19" s="67" customFormat="1" ht="18.75" customHeight="1">
      <c r="B19" s="209" t="s">
        <v>118</v>
      </c>
      <c r="C19" s="209"/>
      <c r="D19" s="209"/>
      <c r="E19" s="209"/>
      <c r="F19" s="83"/>
      <c r="G19" s="83"/>
      <c r="H19" s="83"/>
      <c r="I19" s="83"/>
      <c r="J19" s="83"/>
      <c r="K19" s="83"/>
      <c r="L19" s="83"/>
      <c r="M19" s="83"/>
      <c r="N19" s="84"/>
      <c r="O19" s="84"/>
    </row>
    <row r="20" spans="2:19" s="67" customFormat="1" ht="18.75" customHeight="1">
      <c r="B20" s="85" t="s">
        <v>119</v>
      </c>
      <c r="C20" s="85" t="s">
        <v>120</v>
      </c>
      <c r="D20" s="85" t="s">
        <v>121</v>
      </c>
      <c r="E20" s="85" t="s">
        <v>122</v>
      </c>
      <c r="F20" s="83"/>
      <c r="G20" s="83"/>
      <c r="H20" s="84"/>
      <c r="I20" s="84"/>
      <c r="J20" s="83"/>
      <c r="K20" s="83"/>
      <c r="L20" s="83"/>
      <c r="M20" s="83"/>
      <c r="N20" s="84"/>
      <c r="O20" s="84"/>
    </row>
    <row r="21" spans="2:19" s="67" customFormat="1" ht="18.75" customHeight="1">
      <c r="B21" s="35" t="s">
        <v>123</v>
      </c>
      <c r="C21" s="86" t="s">
        <v>124</v>
      </c>
      <c r="D21" s="35" t="s">
        <v>125</v>
      </c>
      <c r="E21" s="87">
        <f>'Comp. Veículo'!D11</f>
        <v>56.78</v>
      </c>
      <c r="F21" s="83"/>
      <c r="G21" s="83"/>
      <c r="H21" s="88"/>
      <c r="I21" s="88"/>
      <c r="J21" s="83"/>
      <c r="K21" s="83"/>
      <c r="L21" s="83"/>
      <c r="M21" s="83"/>
      <c r="N21" s="84"/>
      <c r="O21" s="84"/>
    </row>
    <row r="22" spans="2:19" s="67" customFormat="1" ht="18.75" customHeight="1">
      <c r="B22" s="89" t="s">
        <v>126</v>
      </c>
      <c r="C22" s="90" t="s">
        <v>124</v>
      </c>
      <c r="D22" s="89" t="s">
        <v>127</v>
      </c>
      <c r="E22" s="91">
        <f>'Comp. Veículo'!D27</f>
        <v>6.78</v>
      </c>
      <c r="F22" s="83"/>
      <c r="G22" s="83"/>
      <c r="H22" s="88"/>
      <c r="I22" s="88"/>
      <c r="J22" s="83"/>
      <c r="K22" s="83"/>
      <c r="L22" s="83"/>
      <c r="M22" s="83"/>
      <c r="N22" s="84"/>
      <c r="O22" s="84"/>
    </row>
    <row r="23" spans="2:19" s="67" customFormat="1" ht="47.25" customHeight="1">
      <c r="B23" s="210" t="s">
        <v>128</v>
      </c>
      <c r="C23" s="210"/>
      <c r="D23" s="210"/>
      <c r="E23" s="210"/>
      <c r="F23" s="92"/>
      <c r="G23" s="92"/>
      <c r="H23" s="92"/>
      <c r="I23" s="92"/>
      <c r="J23" s="92"/>
      <c r="K23" s="92"/>
      <c r="L23" s="92"/>
      <c r="M23" s="83"/>
      <c r="N23" s="84"/>
      <c r="O23" s="84"/>
    </row>
    <row r="24" spans="2:19" s="67" customFormat="1" ht="16.5" customHeight="1">
      <c r="B24" s="93"/>
      <c r="C24" s="93"/>
      <c r="D24" s="93"/>
      <c r="E24" s="93"/>
      <c r="F24" s="92"/>
      <c r="G24" s="92"/>
      <c r="H24" s="92"/>
      <c r="I24" s="92"/>
      <c r="J24" s="92"/>
      <c r="K24" s="92"/>
      <c r="L24" s="92"/>
      <c r="M24" s="83"/>
      <c r="N24" s="84"/>
      <c r="O24" s="84"/>
    </row>
    <row r="25" spans="2:19" s="67" customFormat="1" ht="16.5" customHeight="1">
      <c r="B25" s="209" t="s">
        <v>129</v>
      </c>
      <c r="C25" s="209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4"/>
      <c r="O25" s="84"/>
    </row>
    <row r="26" spans="2:19" s="67" customFormat="1" ht="16.5" customHeight="1">
      <c r="B26" s="35" t="s">
        <v>125</v>
      </c>
      <c r="C26" s="87">
        <f>E21*L17</f>
        <v>1225.5016666666668</v>
      </c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4"/>
      <c r="O26" s="84"/>
    </row>
    <row r="27" spans="2:19" s="67" customFormat="1" ht="16.5" customHeight="1">
      <c r="B27" s="35" t="s">
        <v>127</v>
      </c>
      <c r="C27" s="87">
        <f>E22*('Base Cascavel'!N19/12)</f>
        <v>283.77124999999995</v>
      </c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4"/>
      <c r="O27" s="84"/>
    </row>
    <row r="28" spans="2:19" s="67" customFormat="1" ht="16.5" customHeight="1">
      <c r="B28" s="94" t="s">
        <v>27</v>
      </c>
      <c r="C28" s="95">
        <f>C26+C27</f>
        <v>1509.2729166666668</v>
      </c>
      <c r="D28" s="83"/>
      <c r="E28" s="83"/>
      <c r="F28" s="83"/>
      <c r="G28" s="83"/>
      <c r="H28" s="83"/>
      <c r="I28" s="83"/>
      <c r="M28" s="83"/>
      <c r="N28" s="84"/>
      <c r="O28" s="84"/>
    </row>
    <row r="29" spans="2:19" s="67" customFormat="1" ht="16.5" customHeight="1">
      <c r="B29" s="83"/>
      <c r="C29" s="96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4"/>
      <c r="O29" s="84"/>
    </row>
    <row r="30" spans="2:19" s="67" customFormat="1" ht="16.5" customHeight="1">
      <c r="B30" s="211" t="s">
        <v>130</v>
      </c>
      <c r="C30" s="211"/>
      <c r="D30" s="83"/>
      <c r="J30" s="83"/>
      <c r="K30" s="83"/>
      <c r="L30" s="83"/>
      <c r="M30" s="83"/>
      <c r="N30" s="84"/>
      <c r="O30" s="84"/>
    </row>
    <row r="31" spans="2:19" s="67" customFormat="1" ht="16.5" customHeight="1">
      <c r="B31" s="97" t="s">
        <v>122</v>
      </c>
      <c r="C31" s="98">
        <f>SUM(M5:M16)</f>
        <v>0</v>
      </c>
      <c r="J31" s="83"/>
      <c r="K31" s="83"/>
      <c r="L31" s="83"/>
      <c r="M31" s="83"/>
      <c r="N31" s="84"/>
      <c r="O31" s="84"/>
    </row>
    <row r="32" spans="2:19" s="67" customFormat="1" ht="16.5" customHeight="1">
      <c r="B32" s="83"/>
      <c r="C32" s="99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4"/>
      <c r="O32" s="84"/>
    </row>
    <row r="33" spans="2:15" s="67" customFormat="1" ht="12.75">
      <c r="B33" s="205" t="s">
        <v>66</v>
      </c>
      <c r="C33" s="205"/>
      <c r="D33" s="205"/>
      <c r="E33" s="205"/>
      <c r="N33" s="68"/>
      <c r="O33" s="68"/>
    </row>
    <row r="34" spans="2:15" s="67" customFormat="1" ht="12.75">
      <c r="B34" s="100" t="s">
        <v>131</v>
      </c>
      <c r="C34" s="100" t="s">
        <v>120</v>
      </c>
      <c r="D34" s="100" t="s">
        <v>121</v>
      </c>
      <c r="E34" s="100" t="s">
        <v>122</v>
      </c>
      <c r="N34" s="68"/>
      <c r="O34" s="68"/>
    </row>
    <row r="35" spans="2:15" s="67" customFormat="1" ht="25.5">
      <c r="B35" s="89" t="s">
        <v>132</v>
      </c>
      <c r="C35" s="101" t="s">
        <v>133</v>
      </c>
      <c r="D35" s="89" t="s">
        <v>134</v>
      </c>
      <c r="E35" s="91">
        <v>139.4</v>
      </c>
      <c r="N35" s="68"/>
      <c r="O35" s="68"/>
    </row>
    <row r="36" spans="2:15" s="67" customFormat="1" ht="12.75">
      <c r="B36" s="206" t="s">
        <v>135</v>
      </c>
      <c r="C36" s="206"/>
      <c r="D36" s="206"/>
      <c r="E36" s="206"/>
      <c r="N36" s="68"/>
      <c r="O36" s="68"/>
    </row>
  </sheetData>
  <mergeCells count="57">
    <mergeCell ref="H9:H10"/>
    <mergeCell ref="I9:I10"/>
    <mergeCell ref="B2:S2"/>
    <mergeCell ref="B7:B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N9:N10"/>
    <mergeCell ref="B11:B12"/>
    <mergeCell ref="D11:D12"/>
    <mergeCell ref="E11:E12"/>
    <mergeCell ref="F11:F12"/>
    <mergeCell ref="G11:G12"/>
    <mergeCell ref="M11:M12"/>
    <mergeCell ref="J9:J10"/>
    <mergeCell ref="K9:K10"/>
    <mergeCell ref="L9:L10"/>
    <mergeCell ref="M9:M10"/>
    <mergeCell ref="B9:B10"/>
    <mergeCell ref="D9:D10"/>
    <mergeCell ref="E9:E10"/>
    <mergeCell ref="F9:F10"/>
    <mergeCell ref="G9:G10"/>
    <mergeCell ref="N13:N14"/>
    <mergeCell ref="N11:N12"/>
    <mergeCell ref="B13:B14"/>
    <mergeCell ref="D13:D14"/>
    <mergeCell ref="E13:E14"/>
    <mergeCell ref="F13:F14"/>
    <mergeCell ref="G13:G14"/>
    <mergeCell ref="H13:H14"/>
    <mergeCell ref="I13:I14"/>
    <mergeCell ref="J13:J14"/>
    <mergeCell ref="K13:K14"/>
    <mergeCell ref="H11:H12"/>
    <mergeCell ref="I11:I12"/>
    <mergeCell ref="J11:J12"/>
    <mergeCell ref="K11:K12"/>
    <mergeCell ref="L11:L12"/>
    <mergeCell ref="B36:E36"/>
    <mergeCell ref="B17:F17"/>
    <mergeCell ref="H17:J17"/>
    <mergeCell ref="L13:L14"/>
    <mergeCell ref="M13:M14"/>
    <mergeCell ref="B19:E19"/>
    <mergeCell ref="B23:E23"/>
    <mergeCell ref="B25:C25"/>
    <mergeCell ref="B30:C30"/>
    <mergeCell ref="B33:E33"/>
  </mergeCells>
  <printOptions horizontalCentered="1" verticalCentered="1"/>
  <pageMargins left="0.78749999999999998" right="0.78749999999999998" top="0.196527777777778" bottom="0.196527777777778" header="0.511811023622047" footer="0.511811023622047"/>
  <pageSetup paperSize="9" pageOrder="overThenDown" orientation="portrait" useFirstPageNumber="1" horizontalDpi="300" verticalDpi="300"/>
  <ignoredErrors>
    <ignoredError sqref="K5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79998168889431442"/>
  </sheetPr>
  <dimension ref="B1:I32"/>
  <sheetViews>
    <sheetView showGridLines="0" zoomScaleNormal="100" workbookViewId="0">
      <selection activeCell="K18" sqref="K18"/>
    </sheetView>
  </sheetViews>
  <sheetFormatPr defaultColWidth="8.625" defaultRowHeight="14.25"/>
  <cols>
    <col min="1" max="1" width="5.625" customWidth="1"/>
    <col min="2" max="2" width="3" customWidth="1"/>
    <col min="3" max="3" width="12.25" customWidth="1"/>
    <col min="4" max="4" width="60" customWidth="1"/>
    <col min="5" max="5" width="30" customWidth="1"/>
    <col min="6" max="6" width="10" customWidth="1"/>
    <col min="7" max="7" width="13.75" customWidth="1"/>
    <col min="8" max="8" width="12" customWidth="1"/>
    <col min="9" max="9" width="14" customWidth="1"/>
  </cols>
  <sheetData>
    <row r="1" spans="2:9" ht="15" customHeight="1"/>
    <row r="2" spans="2:9" ht="24.75" customHeight="1">
      <c r="B2" s="226" t="s">
        <v>148</v>
      </c>
      <c r="C2" s="226"/>
      <c r="D2" s="226"/>
      <c r="E2" s="226"/>
      <c r="F2" s="226"/>
      <c r="G2" s="226"/>
      <c r="H2" s="226"/>
      <c r="I2" s="226"/>
    </row>
    <row r="3" spans="2:9" ht="21" customHeight="1"/>
    <row r="4" spans="2:9" ht="16.5" customHeight="1">
      <c r="B4" s="228" t="s">
        <v>149</v>
      </c>
      <c r="C4" s="228"/>
      <c r="D4" s="228"/>
      <c r="E4" s="228"/>
      <c r="F4" s="228"/>
      <c r="G4" s="228"/>
      <c r="H4" s="228"/>
      <c r="I4" s="228"/>
    </row>
    <row r="5" spans="2:9" ht="16.5" customHeight="1">
      <c r="B5" s="220" t="s">
        <v>150</v>
      </c>
      <c r="C5" s="220"/>
      <c r="D5" s="222" t="s">
        <v>151</v>
      </c>
      <c r="E5" s="222"/>
      <c r="F5" s="222"/>
      <c r="G5" s="222"/>
      <c r="H5" s="222"/>
      <c r="I5" s="222"/>
    </row>
    <row r="6" spans="2:9" ht="16.5" customHeight="1">
      <c r="B6" s="220" t="s">
        <v>120</v>
      </c>
      <c r="C6" s="220"/>
      <c r="D6" s="222" t="s">
        <v>152</v>
      </c>
      <c r="E6" s="222"/>
      <c r="F6" s="222"/>
      <c r="G6" s="222"/>
      <c r="H6" s="222"/>
      <c r="I6" s="222"/>
    </row>
    <row r="7" spans="2:9" ht="16.5" customHeight="1">
      <c r="B7" s="220" t="s">
        <v>153</v>
      </c>
      <c r="C7" s="220"/>
      <c r="D7" s="227" t="s">
        <v>154</v>
      </c>
      <c r="E7" s="227"/>
      <c r="F7" s="227"/>
      <c r="G7" s="227"/>
      <c r="H7" s="227"/>
      <c r="I7" s="227"/>
    </row>
    <row r="8" spans="2:9" ht="16.5" customHeight="1">
      <c r="B8" s="220" t="s">
        <v>155</v>
      </c>
      <c r="C8" s="220"/>
      <c r="D8" s="222" t="s">
        <v>156</v>
      </c>
      <c r="E8" s="222"/>
      <c r="F8" s="222"/>
      <c r="G8" s="222"/>
      <c r="H8" s="222"/>
      <c r="I8" s="222"/>
    </row>
    <row r="9" spans="2:9" ht="16.5" customHeight="1">
      <c r="B9" s="220" t="s">
        <v>157</v>
      </c>
      <c r="C9" s="220"/>
      <c r="D9" s="223" t="s">
        <v>158</v>
      </c>
      <c r="E9" s="223"/>
      <c r="F9" s="223"/>
      <c r="G9" s="223"/>
      <c r="H9" s="223"/>
      <c r="I9" s="223"/>
    </row>
    <row r="10" spans="2:9" ht="16.5" customHeight="1">
      <c r="B10" s="220" t="s">
        <v>121</v>
      </c>
      <c r="C10" s="220"/>
      <c r="D10" s="222" t="s">
        <v>125</v>
      </c>
      <c r="E10" s="222"/>
      <c r="F10" s="222"/>
      <c r="G10" s="222"/>
      <c r="H10" s="222"/>
      <c r="I10" s="222"/>
    </row>
    <row r="11" spans="2:9" ht="16.5" customHeight="1">
      <c r="B11" s="220" t="s">
        <v>122</v>
      </c>
      <c r="C11" s="220"/>
      <c r="D11" s="225">
        <f>SUM(I14:I18)</f>
        <v>56.78</v>
      </c>
      <c r="E11" s="225"/>
      <c r="F11" s="225"/>
      <c r="G11" s="225"/>
      <c r="H11" s="225"/>
      <c r="I11" s="225"/>
    </row>
    <row r="12" spans="2:9" ht="15.75" customHeight="1">
      <c r="B12" s="102"/>
      <c r="C12" s="102"/>
      <c r="D12" s="103"/>
      <c r="E12" s="103"/>
      <c r="F12" s="103"/>
      <c r="G12" s="103"/>
      <c r="H12" s="103"/>
      <c r="I12" s="103"/>
    </row>
    <row r="13" spans="2:9" ht="29.25" customHeight="1">
      <c r="B13" s="104"/>
      <c r="C13" s="104" t="s">
        <v>159</v>
      </c>
      <c r="D13" s="104" t="s">
        <v>120</v>
      </c>
      <c r="E13" s="104" t="s">
        <v>157</v>
      </c>
      <c r="F13" s="104" t="s">
        <v>121</v>
      </c>
      <c r="G13" s="104" t="s">
        <v>160</v>
      </c>
      <c r="H13" s="104" t="s">
        <v>161</v>
      </c>
      <c r="I13" s="104" t="s">
        <v>122</v>
      </c>
    </row>
    <row r="14" spans="2:9" ht="38.25">
      <c r="B14" s="105" t="s">
        <v>162</v>
      </c>
      <c r="C14" s="105" t="s">
        <v>163</v>
      </c>
      <c r="D14" s="106" t="s">
        <v>164</v>
      </c>
      <c r="E14" s="106" t="s">
        <v>165</v>
      </c>
      <c r="F14" s="105" t="s">
        <v>166</v>
      </c>
      <c r="G14" s="171">
        <v>4.7300000000000004</v>
      </c>
      <c r="H14" s="107">
        <v>1</v>
      </c>
      <c r="I14" s="169">
        <f>G14*H14</f>
        <v>4.7300000000000004</v>
      </c>
    </row>
    <row r="15" spans="2:9" ht="38.25">
      <c r="B15" s="105" t="s">
        <v>162</v>
      </c>
      <c r="C15" s="105" t="s">
        <v>167</v>
      </c>
      <c r="D15" s="106" t="s">
        <v>168</v>
      </c>
      <c r="E15" s="106" t="s">
        <v>165</v>
      </c>
      <c r="F15" s="105" t="s">
        <v>166</v>
      </c>
      <c r="G15" s="171">
        <v>1.46</v>
      </c>
      <c r="H15" s="107">
        <v>1</v>
      </c>
      <c r="I15" s="169">
        <f>G15*H15</f>
        <v>1.46</v>
      </c>
    </row>
    <row r="16" spans="2:9" ht="38.25">
      <c r="B16" s="105" t="s">
        <v>162</v>
      </c>
      <c r="C16" s="105" t="s">
        <v>169</v>
      </c>
      <c r="D16" s="106" t="s">
        <v>170</v>
      </c>
      <c r="E16" s="106" t="s">
        <v>165</v>
      </c>
      <c r="F16" s="105" t="s">
        <v>166</v>
      </c>
      <c r="G16" s="171">
        <v>0.59</v>
      </c>
      <c r="H16" s="107">
        <v>1</v>
      </c>
      <c r="I16" s="169">
        <f>G16*H16</f>
        <v>0.59</v>
      </c>
    </row>
    <row r="17" spans="2:9" ht="38.25">
      <c r="B17" s="105" t="s">
        <v>162</v>
      </c>
      <c r="C17" s="105" t="s">
        <v>171</v>
      </c>
      <c r="D17" s="106" t="s">
        <v>172</v>
      </c>
      <c r="E17" s="106" t="s">
        <v>165</v>
      </c>
      <c r="F17" s="105" t="s">
        <v>166</v>
      </c>
      <c r="G17" s="171">
        <v>5.92</v>
      </c>
      <c r="H17" s="107">
        <v>1</v>
      </c>
      <c r="I17" s="169">
        <f>G17*H17</f>
        <v>5.92</v>
      </c>
    </row>
    <row r="18" spans="2:9" ht="38.25">
      <c r="B18" s="105" t="s">
        <v>162</v>
      </c>
      <c r="C18" s="105" t="s">
        <v>173</v>
      </c>
      <c r="D18" s="106" t="s">
        <v>174</v>
      </c>
      <c r="E18" s="106" t="s">
        <v>165</v>
      </c>
      <c r="F18" s="105" t="s">
        <v>166</v>
      </c>
      <c r="G18" s="171">
        <v>44.08</v>
      </c>
      <c r="H18" s="107">
        <v>1</v>
      </c>
      <c r="I18" s="169">
        <f>G18*H18</f>
        <v>44.08</v>
      </c>
    </row>
    <row r="19" spans="2:9" ht="27.75" customHeight="1"/>
    <row r="20" spans="2:9" ht="16.5" customHeight="1">
      <c r="B20" s="226" t="s">
        <v>175</v>
      </c>
      <c r="C20" s="226"/>
      <c r="D20" s="226"/>
      <c r="E20" s="226"/>
      <c r="F20" s="226"/>
      <c r="G20" s="226"/>
      <c r="H20" s="226"/>
      <c r="I20" s="226"/>
    </row>
    <row r="21" spans="2:9" ht="16.5" customHeight="1">
      <c r="B21" s="220" t="s">
        <v>150</v>
      </c>
      <c r="C21" s="220"/>
      <c r="D21" s="222" t="s">
        <v>176</v>
      </c>
      <c r="E21" s="222"/>
      <c r="F21" s="222"/>
      <c r="G21" s="222"/>
      <c r="H21" s="222"/>
      <c r="I21" s="222"/>
    </row>
    <row r="22" spans="2:9" ht="16.5" customHeight="1">
      <c r="B22" s="220" t="s">
        <v>120</v>
      </c>
      <c r="C22" s="220"/>
      <c r="D22" s="222" t="s">
        <v>177</v>
      </c>
      <c r="E22" s="222"/>
      <c r="F22" s="222"/>
      <c r="G22" s="222"/>
      <c r="H22" s="222"/>
      <c r="I22" s="222"/>
    </row>
    <row r="23" spans="2:9" ht="16.5" customHeight="1">
      <c r="B23" s="220" t="s">
        <v>153</v>
      </c>
      <c r="C23" s="220"/>
      <c r="D23" s="224" t="str">
        <f>D7</f>
        <v>05/2025</v>
      </c>
      <c r="E23" s="224"/>
      <c r="F23" s="224"/>
      <c r="G23" s="224"/>
      <c r="H23" s="224"/>
      <c r="I23" s="224"/>
    </row>
    <row r="24" spans="2:9" ht="16.5" customHeight="1">
      <c r="B24" s="220" t="s">
        <v>155</v>
      </c>
      <c r="C24" s="220"/>
      <c r="D24" s="222" t="str">
        <f>D8</f>
        <v>PARANÁ</v>
      </c>
      <c r="E24" s="222"/>
      <c r="F24" s="222"/>
      <c r="G24" s="222"/>
      <c r="H24" s="222"/>
      <c r="I24" s="222"/>
    </row>
    <row r="25" spans="2:9" ht="16.5" customHeight="1">
      <c r="B25" s="220" t="s">
        <v>157</v>
      </c>
      <c r="C25" s="220"/>
      <c r="D25" s="223" t="s">
        <v>158</v>
      </c>
      <c r="E25" s="223"/>
      <c r="F25" s="223"/>
      <c r="G25" s="223"/>
      <c r="H25" s="223"/>
      <c r="I25" s="223"/>
    </row>
    <row r="26" spans="2:9" ht="16.5" customHeight="1">
      <c r="B26" s="220" t="s">
        <v>121</v>
      </c>
      <c r="C26" s="220"/>
      <c r="D26" s="222" t="s">
        <v>127</v>
      </c>
      <c r="E26" s="222"/>
      <c r="F26" s="222"/>
      <c r="G26" s="222"/>
      <c r="H26" s="222"/>
      <c r="I26" s="222"/>
    </row>
    <row r="27" spans="2:9" ht="16.5" customHeight="1">
      <c r="B27" s="220" t="s">
        <v>122</v>
      </c>
      <c r="C27" s="220"/>
      <c r="D27" s="221">
        <f>SUM(I30:I32)</f>
        <v>6.78</v>
      </c>
      <c r="E27" s="221"/>
      <c r="F27" s="221"/>
      <c r="G27" s="221"/>
      <c r="H27" s="221"/>
      <c r="I27" s="221"/>
    </row>
    <row r="28" spans="2:9" ht="15.75" customHeight="1">
      <c r="B28" s="102"/>
      <c r="C28" s="102"/>
      <c r="D28" s="103"/>
      <c r="E28" s="103"/>
      <c r="F28" s="103"/>
      <c r="G28" s="103"/>
      <c r="H28" s="103"/>
      <c r="I28" s="103"/>
    </row>
    <row r="29" spans="2:9" ht="29.25" customHeight="1">
      <c r="B29" s="104"/>
      <c r="C29" s="104" t="s">
        <v>159</v>
      </c>
      <c r="D29" s="104" t="s">
        <v>120</v>
      </c>
      <c r="E29" s="104" t="s">
        <v>157</v>
      </c>
      <c r="F29" s="104" t="s">
        <v>121</v>
      </c>
      <c r="G29" s="104" t="s">
        <v>160</v>
      </c>
      <c r="H29" s="104" t="s">
        <v>161</v>
      </c>
      <c r="I29" s="104" t="s">
        <v>122</v>
      </c>
    </row>
    <row r="30" spans="2:9" ht="38.25">
      <c r="B30" s="105" t="s">
        <v>162</v>
      </c>
      <c r="C30" s="105" t="s">
        <v>163</v>
      </c>
      <c r="D30" s="106" t="s">
        <v>164</v>
      </c>
      <c r="E30" s="106" t="s">
        <v>165</v>
      </c>
      <c r="F30" s="105" t="s">
        <v>166</v>
      </c>
      <c r="G30" s="171">
        <f>G14</f>
        <v>4.7300000000000004</v>
      </c>
      <c r="H30" s="107">
        <v>1</v>
      </c>
      <c r="I30" s="169">
        <f>G30*H30</f>
        <v>4.7300000000000004</v>
      </c>
    </row>
    <row r="31" spans="2:9" ht="38.25">
      <c r="B31" s="105" t="s">
        <v>162</v>
      </c>
      <c r="C31" s="105" t="s">
        <v>167</v>
      </c>
      <c r="D31" s="106" t="s">
        <v>168</v>
      </c>
      <c r="E31" s="106" t="s">
        <v>165</v>
      </c>
      <c r="F31" s="105" t="s">
        <v>166</v>
      </c>
      <c r="G31" s="171">
        <f>G15</f>
        <v>1.46</v>
      </c>
      <c r="H31" s="107">
        <v>1</v>
      </c>
      <c r="I31" s="169">
        <f>G31*H31</f>
        <v>1.46</v>
      </c>
    </row>
    <row r="32" spans="2:9" ht="38.25">
      <c r="B32" s="105" t="s">
        <v>162</v>
      </c>
      <c r="C32" s="105" t="s">
        <v>169</v>
      </c>
      <c r="D32" s="106" t="s">
        <v>170</v>
      </c>
      <c r="E32" s="106" t="s">
        <v>165</v>
      </c>
      <c r="F32" s="105" t="s">
        <v>166</v>
      </c>
      <c r="G32" s="171">
        <f>G16</f>
        <v>0.59</v>
      </c>
      <c r="H32" s="107">
        <v>1</v>
      </c>
      <c r="I32" s="169">
        <f>G32*H32</f>
        <v>0.59</v>
      </c>
    </row>
  </sheetData>
  <mergeCells count="31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  <mergeCell ref="B20:I20"/>
    <mergeCell ref="B21:C21"/>
    <mergeCell ref="D21:I21"/>
    <mergeCell ref="B22:C22"/>
    <mergeCell ref="D22:I22"/>
    <mergeCell ref="B23:C23"/>
    <mergeCell ref="D23:I23"/>
    <mergeCell ref="B27:C27"/>
    <mergeCell ref="D27:I27"/>
    <mergeCell ref="B24:C24"/>
    <mergeCell ref="D24:I24"/>
    <mergeCell ref="B25:C25"/>
    <mergeCell ref="D25:I25"/>
    <mergeCell ref="B26:C26"/>
    <mergeCell ref="D26:I26"/>
  </mergeCells>
  <printOptions horizontalCentered="1"/>
  <pageMargins left="0.17708333333333301" right="0.134027777777778" top="0.374305555555556" bottom="0.32013888888888897" header="0.511811023622047" footer="0.511811023622047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79998168889431442"/>
  </sheetPr>
  <dimension ref="A1:C16"/>
  <sheetViews>
    <sheetView zoomScale="110" zoomScaleNormal="110" workbookViewId="0">
      <selection activeCell="H16" sqref="H16"/>
    </sheetView>
  </sheetViews>
  <sheetFormatPr defaultColWidth="8.5" defaultRowHeight="14.25"/>
  <cols>
    <col min="2" max="2" width="31.125" customWidth="1"/>
    <col min="3" max="3" width="25.375" customWidth="1"/>
  </cols>
  <sheetData>
    <row r="1" spans="1:3">
      <c r="A1" s="108"/>
    </row>
    <row r="2" spans="1:3" ht="14.25" customHeight="1">
      <c r="A2" s="108"/>
      <c r="B2" s="109"/>
      <c r="C2" s="110" t="s">
        <v>156</v>
      </c>
    </row>
    <row r="3" spans="1:3" ht="14.25" customHeight="1">
      <c r="A3" s="108"/>
      <c r="B3" s="111" t="s">
        <v>178</v>
      </c>
      <c r="C3" s="110" t="s">
        <v>179</v>
      </c>
    </row>
    <row r="4" spans="1:3" ht="14.25" customHeight="1">
      <c r="A4" s="108"/>
      <c r="B4" s="111" t="s">
        <v>180</v>
      </c>
      <c r="C4" s="112" t="s">
        <v>181</v>
      </c>
    </row>
    <row r="5" spans="1:3" ht="14.25" customHeight="1">
      <c r="A5" s="108"/>
      <c r="B5" s="111" t="s">
        <v>182</v>
      </c>
      <c r="C5" s="182">
        <v>45778</v>
      </c>
    </row>
    <row r="6" spans="1:3" ht="14.25" customHeight="1">
      <c r="A6" s="108"/>
      <c r="B6" s="111" t="s">
        <v>183</v>
      </c>
      <c r="C6" s="113">
        <v>62.21</v>
      </c>
    </row>
    <row r="7" spans="1:3" ht="14.25" customHeight="1">
      <c r="A7" s="108"/>
      <c r="B7" s="114"/>
      <c r="C7" s="115"/>
    </row>
    <row r="8" spans="1:3" ht="29.25" customHeight="1">
      <c r="A8" s="108"/>
      <c r="B8" s="116" t="s">
        <v>184</v>
      </c>
      <c r="C8" s="117" t="s">
        <v>185</v>
      </c>
    </row>
    <row r="9" spans="1:3" ht="14.25" customHeight="1">
      <c r="A9" s="108"/>
      <c r="B9" s="111" t="s">
        <v>186</v>
      </c>
      <c r="C9" s="118">
        <v>0.9345</v>
      </c>
    </row>
    <row r="10" spans="1:3" ht="14.25" customHeight="1">
      <c r="A10" s="108"/>
      <c r="B10" s="111" t="s">
        <v>187</v>
      </c>
      <c r="C10" s="118">
        <v>1.1637</v>
      </c>
    </row>
    <row r="11" spans="1:3" ht="14.25" customHeight="1">
      <c r="A11" s="108"/>
      <c r="B11" s="114"/>
      <c r="C11" s="114"/>
    </row>
    <row r="12" spans="1:3" ht="14.25" customHeight="1">
      <c r="A12" s="108"/>
      <c r="B12" s="119" t="s">
        <v>188</v>
      </c>
      <c r="C12" s="120"/>
    </row>
    <row r="13" spans="1:3" ht="14.25" customHeight="1">
      <c r="A13" s="108"/>
      <c r="B13" s="111" t="s">
        <v>189</v>
      </c>
      <c r="C13" s="121">
        <f>C6*(1+C9)</f>
        <v>120.34524499999999</v>
      </c>
    </row>
    <row r="14" spans="1:3" ht="15" customHeight="1">
      <c r="A14" s="108"/>
      <c r="B14" s="111" t="s">
        <v>190</v>
      </c>
      <c r="C14" s="121">
        <f>C6*(1+C10)</f>
        <v>134.60377700000001</v>
      </c>
    </row>
    <row r="15" spans="1:3">
      <c r="A15" s="108"/>
      <c r="B15" s="109"/>
      <c r="C15" s="109"/>
    </row>
    <row r="16" spans="1:3" ht="66" customHeight="1">
      <c r="A16" s="108"/>
      <c r="B16" s="229" t="s">
        <v>191</v>
      </c>
      <c r="C16" s="230"/>
    </row>
  </sheetData>
  <mergeCells count="1">
    <mergeCell ref="B16:C16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64A2D41-E9DF-4815-9676-C406F7B5FC53}">
  <ds:schemaRefs>
    <ds:schemaRef ds:uri="132d983b-bc52-4905-b3a2-4655d790e7be"/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706c7f7c-e32b-4162-b9b5-46b4313c91a4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150B8EEA-4D72-4A1F-9994-A587DB28A1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2d983b-bc52-4905-b3a2-4655d790e7be"/>
    <ds:schemaRef ds:uri="706c7f7c-e32b-4162-b9b5-46b4313c91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1794D25-D840-42D4-9B5A-2C0E3454C95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7</vt:i4>
      </vt:variant>
    </vt:vector>
  </HeadingPairs>
  <TitlesOfParts>
    <vt:vector size="21" baseType="lpstr">
      <vt:lpstr>Valor da Contratação</vt:lpstr>
      <vt:lpstr>Resumo</vt:lpstr>
      <vt:lpstr>Equipe Técnica</vt:lpstr>
      <vt:lpstr>Base Maringá</vt:lpstr>
      <vt:lpstr>Desl. Base Maringá</vt:lpstr>
      <vt:lpstr>Base Cascavel</vt:lpstr>
      <vt:lpstr>Desl. Base Cascavel</vt:lpstr>
      <vt:lpstr>Comp. Veículo</vt:lpstr>
      <vt:lpstr>Custo Eng. Eletricista</vt:lpstr>
      <vt:lpstr>Comp. Eng. Eletricista</vt:lpstr>
      <vt:lpstr>Custo Oficial de Manutenção</vt:lpstr>
      <vt:lpstr>Comp. Oficial de Manutenção</vt:lpstr>
      <vt:lpstr>Unidades</vt:lpstr>
      <vt:lpstr>BDI</vt:lpstr>
      <vt:lpstr>'Base Cascavel'!Area_de_impressao</vt:lpstr>
      <vt:lpstr>'Base Maringá'!Area_de_impressao</vt:lpstr>
      <vt:lpstr>BDI!Area_de_impressao</vt:lpstr>
      <vt:lpstr>'Desl. Base Cascavel'!Area_de_impressao</vt:lpstr>
      <vt:lpstr>'Desl. Base Maringá'!Area_de_impressao</vt:lpstr>
      <vt:lpstr>'Equipe Técnica'!Area_de_impressao</vt:lpstr>
      <vt:lpstr>Unidades!Area_de_impressao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cp:keywords/>
  <dc:description/>
  <cp:lastModifiedBy>RODRIGO SANTOS</cp:lastModifiedBy>
  <cp:revision>39</cp:revision>
  <dcterms:created xsi:type="dcterms:W3CDTF">2022-02-01T12:05:24Z</dcterms:created>
  <dcterms:modified xsi:type="dcterms:W3CDTF">2025-06-23T20:01:03Z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